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R:\IRIS Partner\Financial Counseling\Student Budget Worksheet - Brenna &amp; Justin\"/>
    </mc:Choice>
  </mc:AlternateContent>
  <xr:revisionPtr revIDLastSave="0" documentId="13_ncr:1_{B54B4E1A-612D-44C0-82C9-41AA3E8D268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Budget Worksheet" sheetId="1" r:id="rId1"/>
    <sheet name="Data" sheetId="2" state="hidden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5" i="1" l="1"/>
  <c r="D10" i="1"/>
  <c r="D8" i="1"/>
  <c r="H59" i="2"/>
  <c r="E8" i="1"/>
  <c r="F8" i="1" l="1"/>
  <c r="F10" i="1"/>
  <c r="E33" i="1" l="1"/>
  <c r="E34" i="1" l="1"/>
  <c r="A49" i="1" l="1"/>
  <c r="A37" i="1"/>
  <c r="F42" i="1" l="1"/>
  <c r="F41" i="1"/>
  <c r="F40" i="1"/>
  <c r="F43" i="1" l="1"/>
  <c r="F47" i="1"/>
  <c r="J28" i="2"/>
  <c r="K28" i="2" s="1"/>
  <c r="I28" i="2"/>
  <c r="H28" i="2" l="1"/>
  <c r="L28" i="2" s="1"/>
  <c r="F46" i="1" s="1"/>
  <c r="F34" i="1"/>
  <c r="D16" i="1" l="1"/>
  <c r="F23" i="1"/>
  <c r="F24" i="1" l="1"/>
  <c r="D8" i="2" l="1"/>
  <c r="F52" i="1" l="1"/>
  <c r="F53" i="1"/>
  <c r="F48" i="1"/>
  <c r="F49" i="1" s="1"/>
  <c r="F35" i="1"/>
  <c r="F36" i="1"/>
  <c r="F25" i="1"/>
  <c r="F22" i="1"/>
  <c r="F28" i="1" l="1"/>
  <c r="F54" i="1"/>
  <c r="E68" i="2"/>
  <c r="E69" i="2"/>
  <c r="E70" i="2"/>
  <c r="E67" i="2"/>
  <c r="G68" i="2"/>
  <c r="G69" i="2"/>
  <c r="G70" i="2"/>
  <c r="G67" i="2"/>
  <c r="F68" i="2"/>
  <c r="F69" i="2"/>
  <c r="F70" i="2"/>
  <c r="F67" i="2"/>
  <c r="F16" i="1" l="1"/>
  <c r="E15" i="1"/>
  <c r="D9" i="1"/>
  <c r="F9" i="1" s="1"/>
  <c r="E7" i="1"/>
  <c r="D7" i="1"/>
  <c r="F33" i="1" s="1"/>
  <c r="F37" i="1" l="1"/>
  <c r="F55" i="1" s="1"/>
  <c r="F7" i="1"/>
  <c r="F11" i="1" s="1"/>
  <c r="F15" i="1"/>
  <c r="F17" i="1" s="1"/>
  <c r="F29" i="1" l="1"/>
  <c r="F58" i="1" s="1"/>
  <c r="C64" i="1" l="1"/>
  <c r="A58" i="1"/>
  <c r="C62" i="1"/>
  <c r="C6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Wilkerson, Brenna</author>
  </authors>
  <commentList>
    <comment ref="J63" authorId="0" shapeId="0" xr:uid="{11484DDC-B737-4E16-9B7C-E57B6B46A7E9}">
      <text>
        <r>
          <rPr>
            <b/>
            <sz val="9"/>
            <color indexed="81"/>
            <rFont val="Tahoma"/>
            <family val="2"/>
          </rPr>
          <t>Wilkerson, Brenna:</t>
        </r>
        <r>
          <rPr>
            <sz val="9"/>
            <color indexed="81"/>
            <rFont val="Tahoma"/>
            <family val="2"/>
          </rPr>
          <t xml:space="preserve">
Last day to sign up because payment plan dates don't follow normal pattern</t>
        </r>
      </text>
    </comment>
  </commentList>
</comments>
</file>

<file path=xl/sharedStrings.xml><?xml version="1.0" encoding="utf-8"?>
<sst xmlns="http://schemas.openxmlformats.org/spreadsheetml/2006/main" count="253" uniqueCount="200">
  <si>
    <t>700#:</t>
  </si>
  <si>
    <t>Name:</t>
  </si>
  <si>
    <t>Tuition</t>
  </si>
  <si>
    <t>Credit Hours</t>
  </si>
  <si>
    <t>Student Fees Per Credit Hour</t>
  </si>
  <si>
    <t>Total</t>
  </si>
  <si>
    <t>On Campus</t>
  </si>
  <si>
    <t>Online</t>
  </si>
  <si>
    <t>COF Eligible</t>
  </si>
  <si>
    <t>No</t>
  </si>
  <si>
    <t>Room &amp; Board</t>
  </si>
  <si>
    <t>Meal Plan</t>
  </si>
  <si>
    <t>Rate Per Semester</t>
  </si>
  <si>
    <t>Activity Fee</t>
  </si>
  <si>
    <t>Room and Board Total</t>
  </si>
  <si>
    <t>Other Expenses</t>
  </si>
  <si>
    <t>Total Other Expenses</t>
  </si>
  <si>
    <t>What are my costs?</t>
  </si>
  <si>
    <t>Tuition Classification:</t>
  </si>
  <si>
    <t>Scholarships</t>
  </si>
  <si>
    <t>Yearly Amount</t>
  </si>
  <si>
    <t>Other / Family Contributions</t>
  </si>
  <si>
    <t>Subsidized Loan</t>
  </si>
  <si>
    <t>Unsubsidized Loan</t>
  </si>
  <si>
    <t>Parent PLUS Loan</t>
  </si>
  <si>
    <t>Dorm</t>
  </si>
  <si>
    <t>Yes</t>
  </si>
  <si>
    <t>Grants</t>
  </si>
  <si>
    <t>Total Expected Financial Aid</t>
  </si>
  <si>
    <t>Other/Family Contributions Total</t>
  </si>
  <si>
    <t>Monthly</t>
  </si>
  <si>
    <t>Semi-Monthly</t>
  </si>
  <si>
    <t>Weekly</t>
  </si>
  <si>
    <t>Payment Amounts</t>
  </si>
  <si>
    <t>*Rough Estimate - Not ready for publication*</t>
  </si>
  <si>
    <t>COF</t>
  </si>
  <si>
    <t>Fall/ Spring</t>
  </si>
  <si>
    <t>In_State</t>
  </si>
  <si>
    <t>Out_of_State</t>
  </si>
  <si>
    <t>Blank</t>
  </si>
  <si>
    <t>In-State</t>
  </si>
  <si>
    <t>Out-of-State</t>
  </si>
  <si>
    <t>Western Undergratuate Exchange (WUE)</t>
  </si>
  <si>
    <t>Residence Hall Rates</t>
  </si>
  <si>
    <t>Room Cost per Year</t>
  </si>
  <si>
    <t>Room Cost per Semester</t>
  </si>
  <si>
    <t xml:space="preserve">Off Campus </t>
  </si>
  <si>
    <t>Bunting Hall - Double</t>
  </si>
  <si>
    <t>Bunting Hall - Single</t>
  </si>
  <si>
    <t>Bunting Hall - Super Single</t>
  </si>
  <si>
    <t>Bunting Hall - Double Stacked</t>
  </si>
  <si>
    <t>Garfield Hall - Double</t>
  </si>
  <si>
    <t>Grand Mesa Hall - Double</t>
  </si>
  <si>
    <t>Grand Mesa Hall - Single</t>
  </si>
  <si>
    <t>Grand Mesa Hall - Super Single</t>
  </si>
  <si>
    <t>Monument Hall - Double</t>
  </si>
  <si>
    <t>Orchard Ave Apartments - Double</t>
  </si>
  <si>
    <t>Orchard Ave Apartments - Single</t>
  </si>
  <si>
    <t>Pinon Hall - Double</t>
  </si>
  <si>
    <t>Pinon Hall - Single</t>
  </si>
  <si>
    <t>Rait Hall - Double</t>
  </si>
  <si>
    <t>Rait Hall - Single</t>
  </si>
  <si>
    <t>Tolman Hall - Double</t>
  </si>
  <si>
    <t>Tolman Hall - Single</t>
  </si>
  <si>
    <t>Walnut Ridge Apartments - Double</t>
  </si>
  <si>
    <t>Walnut Ridge Apartments - Single</t>
  </si>
  <si>
    <t>Wingate Hall - Double</t>
  </si>
  <si>
    <t>Additional Fees</t>
  </si>
  <si>
    <t>Housing Application Fee</t>
  </si>
  <si>
    <t>Housing Deposit</t>
  </si>
  <si>
    <t>Meal Plans</t>
  </si>
  <si>
    <t>Summer:</t>
  </si>
  <si>
    <t>May</t>
  </si>
  <si>
    <t>June</t>
  </si>
  <si>
    <t>July</t>
  </si>
  <si>
    <t>Deadline</t>
  </si>
  <si>
    <t>Semimonthly</t>
  </si>
  <si>
    <t>Deadline Past</t>
  </si>
  <si>
    <t># of Pymts-Monthly</t>
  </si>
  <si>
    <t># of Pymts-BiMonthly</t>
  </si>
  <si>
    <t># of Pymts-Weekly</t>
  </si>
  <si>
    <t>Optional Fees:</t>
  </si>
  <si>
    <t>Parking Pass;</t>
  </si>
  <si>
    <t>Residence Hall Permit</t>
  </si>
  <si>
    <t>Residence Reserved Hall Permit</t>
  </si>
  <si>
    <t xml:space="preserve">Commuter Permit </t>
  </si>
  <si>
    <t xml:space="preserve">Faculty/Staff Permit </t>
  </si>
  <si>
    <t xml:space="preserve">Value Permit </t>
  </si>
  <si>
    <t>Motorcycle Permit</t>
  </si>
  <si>
    <t>None</t>
  </si>
  <si>
    <t>Tuition Per Credit</t>
  </si>
  <si>
    <t>Fees Per Credit</t>
  </si>
  <si>
    <t>Lucero Hall Apartment - Double</t>
  </si>
  <si>
    <t>Lucero Hall Apartment - Single</t>
  </si>
  <si>
    <t>Lucero Hall - Double</t>
  </si>
  <si>
    <t>Lucero Hall - Single</t>
  </si>
  <si>
    <t>Meal Plan A</t>
  </si>
  <si>
    <t>Meal Plan B</t>
  </si>
  <si>
    <t>How much will I owe after financial aid has paid?</t>
  </si>
  <si>
    <t>Payment Plan Type</t>
  </si>
  <si>
    <t>Aspen Apartments</t>
  </si>
  <si>
    <t>Matriculation Fee</t>
  </si>
  <si>
    <t>What is COF? Visit www.coloradomesa.edu/cof to learn more.</t>
  </si>
  <si>
    <t>Tuition &amp; Fees</t>
  </si>
  <si>
    <t>Is this your first semester at CMU?</t>
  </si>
  <si>
    <t>How do I plan to pay?</t>
  </si>
  <si>
    <t>Per Semester</t>
  </si>
  <si>
    <t>Still Owe? Sign up for a Payment Plan!</t>
  </si>
  <si>
    <t>Tuition &amp; Fees Total</t>
  </si>
  <si>
    <t>Are you planning to buy a parking pass?</t>
  </si>
  <si>
    <t>Federal Loans</t>
  </si>
  <si>
    <t>Grants Total</t>
  </si>
  <si>
    <t>Loans Total</t>
  </si>
  <si>
    <t xml:space="preserve">     How to Sign Up for a Payment Plan</t>
  </si>
  <si>
    <t xml:space="preserve">      -Log into MAVzone and click the ePAY app</t>
  </si>
  <si>
    <t xml:space="preserve">      -Click the “Payment Plans” tab → Click “Enroll Now”</t>
  </si>
  <si>
    <t>Description (e.g. books, transportation, rent, etc.)</t>
  </si>
  <si>
    <t>Today</t>
  </si>
  <si>
    <t>Are you enrolled in the Early Start Program?</t>
  </si>
  <si>
    <t>Step 1: Estimate your tuition charges</t>
  </si>
  <si>
    <t>On Campus/Hybrid</t>
  </si>
  <si>
    <t>Step 2: Estimate your housing costs</t>
  </si>
  <si>
    <r>
      <rPr>
        <b/>
        <sz val="11"/>
        <color theme="1"/>
        <rFont val="Calibri"/>
        <family val="2"/>
        <scheme val="minor"/>
      </rPr>
      <t>Step 3: Estimate other CMU expenses
-</t>
    </r>
    <r>
      <rPr>
        <sz val="11"/>
        <color theme="1"/>
        <rFont val="Calibri"/>
        <family val="2"/>
        <scheme val="minor"/>
      </rPr>
      <t>Use the drop down to select if this is your first semester at CMU. First-time students will receive a matriculation fee</t>
    </r>
  </si>
  <si>
    <t>Are you attending New Mav Days?</t>
  </si>
  <si>
    <t>-</t>
  </si>
  <si>
    <t>Use the drop down menu to select your residency/tuition classification.</t>
  </si>
  <si>
    <t>Enter the number of credit hours you will be taking of on campus and/or hybrid classes.</t>
  </si>
  <si>
    <t>Enter the number of credit hours you will be taking for online classes.</t>
  </si>
  <si>
    <t>Use the drop down menu to select your dorm room.</t>
  </si>
  <si>
    <t>Learn more at www.coloradomesa.edu/residence-life</t>
  </si>
  <si>
    <t>Use the drop down menu to select your meal plan. All students living in the dorms are required to purchase a meal plan with the exception of on-campus apartments.</t>
  </si>
  <si>
    <t>Merit Scholarships</t>
  </si>
  <si>
    <t>CMU Merit Scholarships</t>
  </si>
  <si>
    <t>Distinguished Scholar</t>
  </si>
  <si>
    <t>Presidential</t>
  </si>
  <si>
    <t>Academic Achievement</t>
  </si>
  <si>
    <t>Two Rivers</t>
  </si>
  <si>
    <t>Phi Theta Kappa</t>
  </si>
  <si>
    <t>First Generation or Legacy</t>
  </si>
  <si>
    <t>First Generation</t>
  </si>
  <si>
    <t>Legacy</t>
  </si>
  <si>
    <t>Mountains and Plains (M&amp;P)</t>
  </si>
  <si>
    <t>Use the drop down menu to select if you are attending New Mav Days, participating in an Early Start Program, and/or buying a parking permit.</t>
  </si>
  <si>
    <t>Any colored boxes are spots where you can enter in your information</t>
  </si>
  <si>
    <t>Do you have a past balance from a previous semester?</t>
  </si>
  <si>
    <t xml:space="preserve">Use the drop down menu to select if this is your first semester at CMU. All first-time students are charged a one-time, non-refundable matriculation fee that covers one-time miscellaneous expenses. </t>
  </si>
  <si>
    <t>Step 4: Enter your scholarships</t>
  </si>
  <si>
    <t>Use the drop down menu to select if you will be receiving a CMU merit scholarship.</t>
  </si>
  <si>
    <t>Use the drop down menu to select if you will be receiving the First Generation or Legacy Scholarship</t>
  </si>
  <si>
    <t xml:space="preserve">Enter the names and amounts for any other scholarships you will be receiving. </t>
  </si>
  <si>
    <t>Note: The Distinguished Scholarship for in-state students will cover tuition charges. It will be disbursed in two separate payments: one at the beginning of the semester and one in mid-September.</t>
  </si>
  <si>
    <t>Step 5: Enter your loan amounts</t>
  </si>
  <si>
    <t>Enter the amounts for any subsidized, unsubsidized, or Parent PLUS loans you plan to use. All federal loans have an origination fee that is automatically deducted.</t>
  </si>
  <si>
    <t>Learn how to view &amp; accept loans at www.coloradomesa.edu/iris/how-to-videos</t>
  </si>
  <si>
    <t>Pell Grant</t>
  </si>
  <si>
    <t>Note: If you are accepting loans for the first-time or accepting a Parent PLUS loan, you will need to complete additional steps at www.studentaid.gov. View your financial aid tasks in your MAVzone.</t>
  </si>
  <si>
    <t>Type in the name and amounts for any additional expenses (e.g. books, lab fees, course fees, etc.)</t>
  </si>
  <si>
    <t xml:space="preserve">Enter the amount for any previous semester balance. </t>
  </si>
  <si>
    <t>Note: Currently enrolled students must be enrolled in a payment plan or have their balance paid below $1000 in order to register. Students who are not currently enrolled must have their balance paid in full before registering.</t>
  </si>
  <si>
    <t>Greater than or equal to</t>
  </si>
  <si>
    <t>Pell Table</t>
  </si>
  <si>
    <t>Full</t>
  </si>
  <si>
    <t>No 1/4</t>
  </si>
  <si>
    <t>No 1/2</t>
  </si>
  <si>
    <t>No 3/4</t>
  </si>
  <si>
    <t>Less than or equal to</t>
  </si>
  <si>
    <t>Pell</t>
  </si>
  <si>
    <t>Pell Category</t>
  </si>
  <si>
    <t>3Q</t>
  </si>
  <si>
    <t>HT</t>
  </si>
  <si>
    <t>1Q</t>
  </si>
  <si>
    <t>Credit Load</t>
  </si>
  <si>
    <t>Amount</t>
  </si>
  <si>
    <t>Other Scholarships</t>
  </si>
  <si>
    <t>Not Enrolled</t>
  </si>
  <si>
    <t>Equal to</t>
  </si>
  <si>
    <t>Multiplier</t>
  </si>
  <si>
    <t>Step 6: Enter your grant amounts</t>
  </si>
  <si>
    <t>Enter the amount of Pell Grant you were offered (if applicable)</t>
  </si>
  <si>
    <t>CSG or SEOG</t>
  </si>
  <si>
    <t>Select if you received the Colorado State Grant (CSG) or the Supplemental Educational Opportunity Grant (SEOG).</t>
  </si>
  <si>
    <t xml:space="preserve">Enter the names and amounts of any other grants. </t>
  </si>
  <si>
    <t>Note: CSG, SEOG, and many other grants require you to be enrolled in 12 or more credit hours. The Pell Grant is awarded on a sliding scale based on your credit hours and financial information from the FAFSA.</t>
  </si>
  <si>
    <t>Step 7: Enter your other sources of funding</t>
  </si>
  <si>
    <t>Enter the names and amounts of other sources of funding (e.g. alternative loans, out-of-pocket payments, 529 payments, etc.)</t>
  </si>
  <si>
    <t>Step 8: Make a plan!</t>
  </si>
  <si>
    <t>How to Use this Budget Worksheet</t>
  </si>
  <si>
    <t>Type in your name and 700# (student ID number).</t>
  </si>
  <si>
    <r>
      <rPr>
        <u/>
        <sz val="11"/>
        <color theme="1"/>
        <rFont val="Calibri"/>
        <family val="2"/>
        <scheme val="minor"/>
      </rPr>
      <t>Getting a refund?</t>
    </r>
    <r>
      <rPr>
        <sz val="11"/>
        <color theme="1"/>
        <rFont val="Calibri"/>
        <family val="2"/>
        <scheme val="minor"/>
      </rPr>
      <t xml:space="preserve"> Sign up for eRefunds (direct deposit) in the ePay app in MAVzone to get your refund faster.</t>
    </r>
  </si>
  <si>
    <r>
      <rPr>
        <u/>
        <sz val="11"/>
        <color theme="1"/>
        <rFont val="Calibri"/>
        <family val="2"/>
        <scheme val="minor"/>
      </rPr>
      <t>Will you have a balance?</t>
    </r>
    <r>
      <rPr>
        <sz val="11"/>
        <color theme="1"/>
        <rFont val="Calibri"/>
        <family val="2"/>
        <scheme val="minor"/>
      </rPr>
      <t xml:space="preserve"> Check out the ePay app in MAVzone to make payments, sign up for a payment plan, and/or add authorized users who can view your account and make payments. </t>
    </r>
  </si>
  <si>
    <r>
      <rPr>
        <u/>
        <sz val="11"/>
        <color theme="1"/>
        <rFont val="Calibri"/>
        <family val="2"/>
        <scheme val="minor"/>
      </rPr>
      <t>Still have questions?</t>
    </r>
    <r>
      <rPr>
        <sz val="11"/>
        <color theme="1"/>
        <rFont val="Calibri"/>
        <family val="2"/>
        <scheme val="minor"/>
      </rPr>
      <t xml:space="preserve"> askIRIS! Schedule a financial counseling appointment with an IRIS Advisor at www.coloradomesa.edu/iris</t>
    </r>
  </si>
  <si>
    <t>Both</t>
  </si>
  <si>
    <t>Career &amp; Technical Education (CTE)</t>
  </si>
  <si>
    <t>CTE-Health Sciences</t>
  </si>
  <si>
    <t xml:space="preserve">Use the drop down to select if you are taking any Career &amp; Technical Education (CTE) or CTE-Health Sciences courses and then enter the number of credits. Note: This rate applies to select on-campus CTE courses and 100/200-level NURS courses. Online courses are excluded. </t>
  </si>
  <si>
    <t>Use the drop down menu to select if you will be receiving the Colorado Opportunity Fund (COF)-In-State Students Only</t>
  </si>
  <si>
    <t>Total Semester Charges</t>
  </si>
  <si>
    <t xml:space="preserve">Note: This tool is for planning purposes only! View your account balance and billing statement in ePay after July 16. </t>
  </si>
  <si>
    <t>Wingate Hall - Apartment Single</t>
  </si>
  <si>
    <t>Estimated Semester Budget Worksheet - Spring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</si>
</sst>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5D002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0"/>
      <color rgb="FF5D0022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5D002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D28F"/>
        <bgColor indexed="64"/>
      </patternFill>
    </fill>
    <fill>
      <patternFill patternType="solid">
        <fgColor rgb="FFE0C1FF"/>
        <bgColor indexed="64"/>
      </patternFill>
    </fill>
    <fill>
      <patternFill patternType="solid">
        <fgColor rgb="FFFFABAD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/>
      <bottom/>
      <diagonal/>
    </border>
    <border>
      <left style="thin">
        <color theme="2" tint="-0.499984740745262"/>
      </left>
      <right style="medium">
        <color indexed="64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89">
    <xf numFmtId="0" fontId="0" fillId="0" borderId="0" xfId="0"/>
    <xf numFmtId="0" fontId="3" fillId="0" borderId="0" xfId="0" applyFont="1"/>
    <xf numFmtId="0" fontId="0" fillId="0" borderId="8" xfId="0" applyBorder="1"/>
    <xf numFmtId="0" fontId="0" fillId="0" borderId="2" xfId="0" applyBorder="1"/>
    <xf numFmtId="0" fontId="0" fillId="0" borderId="1" xfId="0" applyBorder="1"/>
    <xf numFmtId="0" fontId="0" fillId="0" borderId="7" xfId="0" applyBorder="1"/>
    <xf numFmtId="0" fontId="0" fillId="0" borderId="5" xfId="0" applyBorder="1"/>
    <xf numFmtId="0" fontId="0" fillId="0" borderId="4" xfId="0" applyBorder="1"/>
    <xf numFmtId="0" fontId="0" fillId="0" borderId="0" xfId="0" applyAlignment="1">
      <alignment horizontal="center" wrapText="1"/>
    </xf>
    <xf numFmtId="0" fontId="0" fillId="0" borderId="0" xfId="0" applyAlignment="1" applyProtection="1">
      <alignment horizontal="center" wrapText="1"/>
      <protection locked="0"/>
    </xf>
    <xf numFmtId="44" fontId="0" fillId="0" borderId="0" xfId="2" applyFont="1" applyFill="1" applyBorder="1" applyProtection="1">
      <protection locked="0"/>
    </xf>
    <xf numFmtId="0" fontId="0" fillId="0" borderId="15" xfId="0" applyBorder="1"/>
    <xf numFmtId="44" fontId="0" fillId="0" borderId="0" xfId="2" applyFont="1" applyFill="1" applyBorder="1"/>
    <xf numFmtId="0" fontId="8" fillId="0" borderId="23" xfId="0" applyFont="1" applyBorder="1" applyAlignment="1">
      <alignment horizontal="right"/>
    </xf>
    <xf numFmtId="44" fontId="0" fillId="0" borderId="11" xfId="0" applyNumberFormat="1" applyBorder="1"/>
    <xf numFmtId="4" fontId="0" fillId="0" borderId="2" xfId="0" applyNumberFormat="1" applyBorder="1"/>
    <xf numFmtId="0" fontId="3" fillId="0" borderId="6" xfId="0" applyFont="1" applyBorder="1"/>
    <xf numFmtId="0" fontId="0" fillId="0" borderId="3" xfId="0" applyBorder="1"/>
    <xf numFmtId="43" fontId="0" fillId="0" borderId="0" xfId="1" applyFont="1" applyBorder="1"/>
    <xf numFmtId="43" fontId="0" fillId="0" borderId="2" xfId="1" applyFont="1" applyBorder="1"/>
    <xf numFmtId="43" fontId="0" fillId="0" borderId="5" xfId="1" applyFont="1" applyBorder="1"/>
    <xf numFmtId="43" fontId="0" fillId="0" borderId="8" xfId="1" applyFont="1" applyBorder="1"/>
    <xf numFmtId="43" fontId="0" fillId="0" borderId="0" xfId="1" applyFont="1"/>
    <xf numFmtId="43" fontId="0" fillId="0" borderId="3" xfId="1" applyFont="1" applyBorder="1"/>
    <xf numFmtId="43" fontId="0" fillId="0" borderId="4" xfId="1" applyFont="1" applyBorder="1"/>
    <xf numFmtId="0" fontId="3" fillId="0" borderId="1" xfId="0" applyFont="1" applyBorder="1"/>
    <xf numFmtId="0" fontId="0" fillId="0" borderId="6" xfId="0" applyBorder="1"/>
    <xf numFmtId="14" fontId="0" fillId="0" borderId="0" xfId="0" applyNumberFormat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6" borderId="28" xfId="0" applyFill="1" applyBorder="1"/>
    <xf numFmtId="14" fontId="0" fillId="6" borderId="29" xfId="0" applyNumberFormat="1" applyFill="1" applyBorder="1"/>
    <xf numFmtId="0" fontId="0" fillId="7" borderId="28" xfId="0" applyFill="1" applyBorder="1"/>
    <xf numFmtId="0" fontId="0" fillId="7" borderId="26" xfId="0" applyFill="1" applyBorder="1"/>
    <xf numFmtId="14" fontId="0" fillId="7" borderId="10" xfId="0" applyNumberFormat="1" applyFill="1" applyBorder="1"/>
    <xf numFmtId="0" fontId="0" fillId="6" borderId="29" xfId="0" applyFill="1" applyBorder="1"/>
    <xf numFmtId="0" fontId="0" fillId="6" borderId="26" xfId="0" applyFill="1" applyBorder="1"/>
    <xf numFmtId="14" fontId="0" fillId="6" borderId="10" xfId="0" applyNumberFormat="1" applyFill="1" applyBorder="1"/>
    <xf numFmtId="0" fontId="3" fillId="0" borderId="18" xfId="0" applyFont="1" applyBorder="1"/>
    <xf numFmtId="0" fontId="3" fillId="0" borderId="19" xfId="0" applyFont="1" applyBorder="1"/>
    <xf numFmtId="0" fontId="3" fillId="0" borderId="15" xfId="0" applyFont="1" applyBorder="1"/>
    <xf numFmtId="0" fontId="3" fillId="0" borderId="16" xfId="0" applyFont="1" applyBorder="1"/>
    <xf numFmtId="0" fontId="0" fillId="0" borderId="20" xfId="0" applyBorder="1"/>
    <xf numFmtId="164" fontId="3" fillId="0" borderId="21" xfId="2" applyNumberFormat="1" applyFont="1" applyBorder="1"/>
    <xf numFmtId="164" fontId="0" fillId="0" borderId="16" xfId="0" applyNumberFormat="1" applyBorder="1"/>
    <xf numFmtId="44" fontId="0" fillId="0" borderId="21" xfId="0" applyNumberFormat="1" applyBorder="1"/>
    <xf numFmtId="0" fontId="0" fillId="8" borderId="26" xfId="0" applyFill="1" applyBorder="1"/>
    <xf numFmtId="14" fontId="0" fillId="8" borderId="10" xfId="0" applyNumberFormat="1" applyFill="1" applyBorder="1"/>
    <xf numFmtId="14" fontId="0" fillId="8" borderId="27" xfId="0" applyNumberFormat="1" applyFill="1" applyBorder="1"/>
    <xf numFmtId="0" fontId="0" fillId="8" borderId="30" xfId="0" applyFill="1" applyBorder="1"/>
    <xf numFmtId="0" fontId="0" fillId="8" borderId="9" xfId="0" applyFill="1" applyBorder="1"/>
    <xf numFmtId="0" fontId="0" fillId="8" borderId="22" xfId="0" applyFill="1" applyBorder="1"/>
    <xf numFmtId="0" fontId="0" fillId="5" borderId="30" xfId="0" applyFill="1" applyBorder="1" applyAlignment="1">
      <alignment horizontal="center"/>
    </xf>
    <xf numFmtId="0" fontId="3" fillId="0" borderId="11" xfId="0" applyFont="1" applyBorder="1" applyAlignment="1">
      <alignment horizontal="right"/>
    </xf>
    <xf numFmtId="44" fontId="0" fillId="3" borderId="11" xfId="0" applyNumberFormat="1" applyFill="1" applyBorder="1"/>
    <xf numFmtId="0" fontId="5" fillId="0" borderId="0" xfId="0" applyFont="1"/>
    <xf numFmtId="44" fontId="0" fillId="0" borderId="11" xfId="0" applyNumberFormat="1" applyBorder="1" applyAlignment="1">
      <alignment horizontal="center"/>
    </xf>
    <xf numFmtId="0" fontId="0" fillId="9" borderId="31" xfId="0" applyFill="1" applyBorder="1"/>
    <xf numFmtId="14" fontId="0" fillId="10" borderId="0" xfId="0" applyNumberFormat="1" applyFill="1" applyAlignment="1">
      <alignment horizontal="center"/>
    </xf>
    <xf numFmtId="0" fontId="0" fillId="10" borderId="0" xfId="0" applyFill="1" applyAlignment="1">
      <alignment horizontal="center"/>
    </xf>
    <xf numFmtId="14" fontId="0" fillId="8" borderId="0" xfId="0" applyNumberFormat="1" applyFill="1"/>
    <xf numFmtId="0" fontId="0" fillId="0" borderId="9" xfId="0" applyBorder="1"/>
    <xf numFmtId="0" fontId="7" fillId="3" borderId="0" xfId="0" applyFont="1" applyFill="1" applyAlignment="1">
      <alignment horizontal="center"/>
    </xf>
    <xf numFmtId="0" fontId="3" fillId="0" borderId="17" xfId="0" applyFont="1" applyBorder="1" applyAlignment="1">
      <alignment horizontal="right"/>
    </xf>
    <xf numFmtId="0" fontId="8" fillId="0" borderId="9" xfId="0" applyFont="1" applyBorder="1" applyAlignment="1">
      <alignment horizontal="center" wrapText="1"/>
    </xf>
    <xf numFmtId="0" fontId="3" fillId="0" borderId="15" xfId="0" applyFont="1" applyBorder="1" applyAlignment="1">
      <alignment horizontal="right"/>
    </xf>
    <xf numFmtId="0" fontId="8" fillId="0" borderId="36" xfId="0" applyFont="1" applyBorder="1" applyAlignment="1">
      <alignment horizontal="center" wrapText="1"/>
    </xf>
    <xf numFmtId="44" fontId="0" fillId="0" borderId="16" xfId="0" applyNumberFormat="1" applyBorder="1"/>
    <xf numFmtId="44" fontId="8" fillId="0" borderId="38" xfId="0" applyNumberFormat="1" applyFont="1" applyBorder="1"/>
    <xf numFmtId="44" fontId="3" fillId="0" borderId="40" xfId="0" applyNumberFormat="1" applyFont="1" applyBorder="1"/>
    <xf numFmtId="0" fontId="3" fillId="0" borderId="36" xfId="0" applyFont="1" applyBorder="1" applyAlignment="1">
      <alignment horizontal="center"/>
    </xf>
    <xf numFmtId="44" fontId="2" fillId="4" borderId="2" xfId="0" applyNumberFormat="1" applyFont="1" applyFill="1" applyBorder="1"/>
    <xf numFmtId="0" fontId="7" fillId="3" borderId="2" xfId="0" applyFont="1" applyFill="1" applyBorder="1" applyAlignment="1">
      <alignment horizontal="center"/>
    </xf>
    <xf numFmtId="44" fontId="0" fillId="0" borderId="42" xfId="0" applyNumberFormat="1" applyBorder="1"/>
    <xf numFmtId="44" fontId="8" fillId="0" borderId="40" xfId="2" applyFont="1" applyFill="1" applyBorder="1" applyProtection="1">
      <protection hidden="1"/>
    </xf>
    <xf numFmtId="44" fontId="4" fillId="0" borderId="2" xfId="2" applyFont="1" applyFill="1" applyBorder="1" applyProtection="1">
      <protection hidden="1"/>
    </xf>
    <xf numFmtId="44" fontId="8" fillId="0" borderId="40" xfId="2" applyFont="1" applyFill="1" applyBorder="1" applyAlignment="1" applyProtection="1">
      <alignment horizontal="right"/>
      <protection hidden="1"/>
    </xf>
    <xf numFmtId="0" fontId="5" fillId="0" borderId="1" xfId="0" applyFont="1" applyBorder="1"/>
    <xf numFmtId="44" fontId="9" fillId="0" borderId="40" xfId="2" applyFont="1" applyFill="1" applyBorder="1" applyProtection="1">
      <protection hidden="1"/>
    </xf>
    <xf numFmtId="44" fontId="3" fillId="0" borderId="2" xfId="0" applyNumberFormat="1" applyFont="1" applyBorder="1"/>
    <xf numFmtId="44" fontId="0" fillId="0" borderId="43" xfId="0" applyNumberFormat="1" applyBorder="1" applyAlignment="1">
      <alignment horizontal="center"/>
    </xf>
    <xf numFmtId="0" fontId="18" fillId="0" borderId="17" xfId="0" applyFont="1" applyBorder="1"/>
    <xf numFmtId="0" fontId="3" fillId="0" borderId="32" xfId="0" applyFont="1" applyBorder="1"/>
    <xf numFmtId="0" fontId="8" fillId="11" borderId="1" xfId="0" applyFont="1" applyFill="1" applyBorder="1" applyAlignment="1">
      <alignment horizontal="center" wrapText="1"/>
    </xf>
    <xf numFmtId="44" fontId="0" fillId="7" borderId="41" xfId="0" applyNumberFormat="1" applyFill="1" applyBorder="1" applyProtection="1">
      <protection locked="0"/>
    </xf>
    <xf numFmtId="44" fontId="0" fillId="8" borderId="11" xfId="2" applyFont="1" applyFill="1" applyBorder="1" applyProtection="1">
      <protection locked="0"/>
    </xf>
    <xf numFmtId="44" fontId="0" fillId="8" borderId="11" xfId="0" applyNumberFormat="1" applyFill="1" applyBorder="1" applyProtection="1">
      <protection locked="0"/>
    </xf>
    <xf numFmtId="44" fontId="0" fillId="12" borderId="11" xfId="2" applyFont="1" applyFill="1" applyBorder="1" applyProtection="1">
      <protection locked="0"/>
    </xf>
    <xf numFmtId="0" fontId="8" fillId="13" borderId="1" xfId="0" applyFont="1" applyFill="1" applyBorder="1" applyAlignment="1">
      <alignment horizontal="center" wrapText="1"/>
    </xf>
    <xf numFmtId="44" fontId="0" fillId="11" borderId="11" xfId="2" applyFont="1" applyFill="1" applyBorder="1" applyProtection="1">
      <protection locked="0"/>
    </xf>
    <xf numFmtId="44" fontId="0" fillId="14" borderId="11" xfId="2" applyFont="1" applyFill="1" applyBorder="1" applyProtection="1">
      <protection locked="0"/>
    </xf>
    <xf numFmtId="0" fontId="8" fillId="8" borderId="1" xfId="0" applyFont="1" applyFill="1" applyBorder="1" applyAlignment="1">
      <alignment horizontal="center" wrapText="1"/>
    </xf>
    <xf numFmtId="0" fontId="3" fillId="13" borderId="7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8" fillId="12" borderId="1" xfId="0" applyFont="1" applyFill="1" applyBorder="1" applyAlignment="1">
      <alignment horizontal="center" wrapText="1"/>
    </xf>
    <xf numFmtId="0" fontId="3" fillId="0" borderId="4" xfId="0" applyFont="1" applyBorder="1"/>
    <xf numFmtId="0" fontId="16" fillId="0" borderId="0" xfId="0" applyFont="1" applyAlignment="1">
      <alignment wrapText="1"/>
    </xf>
    <xf numFmtId="0" fontId="16" fillId="0" borderId="2" xfId="0" applyFont="1" applyBorder="1" applyAlignment="1">
      <alignment wrapText="1"/>
    </xf>
    <xf numFmtId="0" fontId="12" fillId="0" borderId="0" xfId="0" applyFont="1"/>
    <xf numFmtId="0" fontId="16" fillId="0" borderId="0" xfId="0" applyFont="1"/>
    <xf numFmtId="0" fontId="16" fillId="0" borderId="2" xfId="0" applyFont="1" applyBorder="1"/>
    <xf numFmtId="0" fontId="12" fillId="0" borderId="1" xfId="0" applyFont="1" applyBorder="1"/>
    <xf numFmtId="16" fontId="3" fillId="0" borderId="0" xfId="0" applyNumberFormat="1" applyFont="1"/>
    <xf numFmtId="0" fontId="3" fillId="0" borderId="2" xfId="0" applyFont="1" applyBorder="1"/>
    <xf numFmtId="0" fontId="16" fillId="0" borderId="1" xfId="0" applyFont="1" applyBorder="1"/>
    <xf numFmtId="0" fontId="3" fillId="5" borderId="0" xfId="0" applyFont="1" applyFill="1" applyAlignment="1">
      <alignment horizontal="center"/>
    </xf>
    <xf numFmtId="0" fontId="0" fillId="0" borderId="7" xfId="0" applyBorder="1" applyAlignment="1">
      <alignment horizontal="center"/>
    </xf>
    <xf numFmtId="44" fontId="0" fillId="0" borderId="5" xfId="0" applyNumberFormat="1" applyBorder="1"/>
    <xf numFmtId="0" fontId="0" fillId="0" borderId="5" xfId="0" applyBorder="1" applyAlignment="1">
      <alignment horizontal="center"/>
    </xf>
    <xf numFmtId="0" fontId="0" fillId="5" borderId="5" xfId="0" applyFill="1" applyBorder="1"/>
    <xf numFmtId="0" fontId="8" fillId="14" borderId="1" xfId="0" applyFont="1" applyFill="1" applyBorder="1" applyAlignment="1">
      <alignment horizontal="center" wrapText="1"/>
    </xf>
    <xf numFmtId="0" fontId="8" fillId="14" borderId="7" xfId="0" applyFont="1" applyFill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0" fillId="15" borderId="11" xfId="0" applyFill="1" applyBorder="1" applyAlignment="1" applyProtection="1">
      <alignment horizontal="center"/>
      <protection locked="0"/>
    </xf>
    <xf numFmtId="0" fontId="3" fillId="15" borderId="1" xfId="0" applyFont="1" applyFill="1" applyBorder="1" applyAlignment="1">
      <alignment horizontal="center"/>
    </xf>
    <xf numFmtId="0" fontId="0" fillId="15" borderId="16" xfId="0" applyFill="1" applyBorder="1" applyProtection="1">
      <protection locked="0"/>
    </xf>
    <xf numFmtId="0" fontId="6" fillId="3" borderId="11" xfId="0" applyFont="1" applyFill="1" applyBorder="1" applyAlignment="1">
      <alignment horizontal="center"/>
    </xf>
    <xf numFmtId="44" fontId="0" fillId="0" borderId="41" xfId="0" applyNumberFormat="1" applyBorder="1"/>
    <xf numFmtId="44" fontId="0" fillId="0" borderId="11" xfId="2" applyFont="1" applyFill="1" applyBorder="1" applyProtection="1"/>
    <xf numFmtId="0" fontId="8" fillId="0" borderId="17" xfId="0" applyFont="1" applyBorder="1" applyAlignment="1">
      <alignment horizontal="right"/>
    </xf>
    <xf numFmtId="2" fontId="0" fillId="0" borderId="0" xfId="0" applyNumberFormat="1"/>
    <xf numFmtId="4" fontId="0" fillId="0" borderId="8" xfId="0" applyNumberFormat="1" applyBorder="1"/>
    <xf numFmtId="2" fontId="0" fillId="0" borderId="16" xfId="2" applyNumberFormat="1" applyFont="1" applyFill="1" applyBorder="1"/>
    <xf numFmtId="0" fontId="3" fillId="15" borderId="7" xfId="0" applyFont="1" applyFill="1" applyBorder="1" applyAlignment="1">
      <alignment horizontal="center"/>
    </xf>
    <xf numFmtId="44" fontId="0" fillId="16" borderId="0" xfId="2" applyFont="1" applyFill="1" applyBorder="1" applyAlignment="1">
      <alignment horizontal="right"/>
    </xf>
    <xf numFmtId="0" fontId="0" fillId="7" borderId="0" xfId="0" applyFill="1"/>
    <xf numFmtId="0" fontId="0" fillId="6" borderId="0" xfId="0" applyFill="1"/>
    <xf numFmtId="0" fontId="0" fillId="8" borderId="0" xfId="0" applyFill="1"/>
    <xf numFmtId="0" fontId="0" fillId="15" borderId="37" xfId="0" applyFill="1" applyBorder="1" applyAlignment="1" applyProtection="1">
      <alignment horizontal="left"/>
      <protection locked="0"/>
    </xf>
    <xf numFmtId="0" fontId="0" fillId="15" borderId="14" xfId="0" applyFill="1" applyBorder="1" applyAlignment="1" applyProtection="1">
      <alignment horizontal="left"/>
      <protection locked="0"/>
    </xf>
    <xf numFmtId="0" fontId="19" fillId="15" borderId="6" xfId="0" applyFont="1" applyFill="1" applyBorder="1" applyAlignment="1">
      <alignment horizontal="center" vertical="center" wrapText="1"/>
    </xf>
    <xf numFmtId="0" fontId="19" fillId="15" borderId="3" xfId="0" applyFont="1" applyFill="1" applyBorder="1" applyAlignment="1">
      <alignment horizontal="center" vertical="center" wrapText="1"/>
    </xf>
    <xf numFmtId="0" fontId="0" fillId="15" borderId="0" xfId="0" applyFill="1" applyAlignment="1">
      <alignment horizontal="left" wrapText="1"/>
    </xf>
    <xf numFmtId="0" fontId="0" fillId="15" borderId="2" xfId="0" applyFill="1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7" fillId="3" borderId="1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10" fillId="13" borderId="11" xfId="0" applyFont="1" applyFill="1" applyBorder="1" applyAlignment="1" applyProtection="1">
      <alignment horizontal="center"/>
      <protection locked="0"/>
    </xf>
    <xf numFmtId="0" fontId="0" fillId="0" borderId="37" xfId="0" applyBorder="1" applyAlignment="1">
      <alignment horizontal="left"/>
    </xf>
    <xf numFmtId="0" fontId="0" fillId="0" borderId="14" xfId="0" applyBorder="1" applyAlignment="1">
      <alignment horizontal="left"/>
    </xf>
    <xf numFmtId="0" fontId="18" fillId="0" borderId="39" xfId="0" applyFont="1" applyBorder="1" applyAlignment="1">
      <alignment horizontal="left"/>
    </xf>
    <xf numFmtId="0" fontId="18" fillId="0" borderId="17" xfId="0" applyFont="1" applyBorder="1" applyAlignment="1">
      <alignment horizontal="left"/>
    </xf>
    <xf numFmtId="0" fontId="8" fillId="0" borderId="35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0" fillId="8" borderId="12" xfId="0" applyFill="1" applyBorder="1" applyAlignment="1" applyProtection="1">
      <alignment horizontal="center"/>
      <protection locked="0"/>
    </xf>
    <xf numFmtId="0" fontId="0" fillId="8" borderId="14" xfId="0" applyFill="1" applyBorder="1" applyAlignment="1" applyProtection="1">
      <alignment horizontal="center"/>
      <protection locked="0"/>
    </xf>
    <xf numFmtId="0" fontId="0" fillId="0" borderId="37" xfId="0" applyBorder="1"/>
    <xf numFmtId="0" fontId="0" fillId="0" borderId="13" xfId="0" applyBorder="1"/>
    <xf numFmtId="0" fontId="0" fillId="0" borderId="14" xfId="0" applyBorder="1"/>
    <xf numFmtId="0" fontId="0" fillId="7" borderId="12" xfId="0" applyFill="1" applyBorder="1" applyAlignment="1" applyProtection="1">
      <alignment horizontal="center"/>
      <protection locked="0"/>
    </xf>
    <xf numFmtId="0" fontId="0" fillId="7" borderId="14" xfId="0" applyFill="1" applyBorder="1" applyAlignment="1" applyProtection="1">
      <alignment horizontal="center"/>
      <protection locked="0"/>
    </xf>
    <xf numFmtId="0" fontId="13" fillId="2" borderId="1" xfId="0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0" fillId="7" borderId="37" xfId="0" applyFill="1" applyBorder="1" applyAlignment="1" applyProtection="1">
      <alignment horizontal="center"/>
      <protection locked="0"/>
    </xf>
    <xf numFmtId="0" fontId="0" fillId="7" borderId="13" xfId="0" applyFill="1" applyBorder="1" applyAlignment="1" applyProtection="1">
      <alignment horizontal="center"/>
      <protection locked="0"/>
    </xf>
    <xf numFmtId="0" fontId="3" fillId="0" borderId="39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2" fillId="4" borderId="46" xfId="0" applyFont="1" applyFill="1" applyBorder="1" applyAlignment="1">
      <alignment horizontal="right"/>
    </xf>
    <xf numFmtId="0" fontId="2" fillId="4" borderId="47" xfId="0" applyFont="1" applyFill="1" applyBorder="1" applyAlignment="1">
      <alignment horizontal="right"/>
    </xf>
    <xf numFmtId="0" fontId="7" fillId="3" borderId="35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8" xfId="0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8" fillId="0" borderId="39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6" fillId="3" borderId="11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4" xfId="0" applyBorder="1" applyAlignment="1">
      <alignment horizontal="center"/>
    </xf>
    <xf numFmtId="0" fontId="9" fillId="14" borderId="37" xfId="0" applyFont="1" applyFill="1" applyBorder="1" applyAlignment="1" applyProtection="1">
      <alignment horizontal="center"/>
      <protection locked="0"/>
    </xf>
    <xf numFmtId="0" fontId="9" fillId="14" borderId="13" xfId="0" applyFont="1" applyFill="1" applyBorder="1" applyAlignment="1" applyProtection="1">
      <alignment horizontal="center"/>
      <protection locked="0"/>
    </xf>
    <xf numFmtId="0" fontId="9" fillId="14" borderId="14" xfId="0" applyFont="1" applyFill="1" applyBorder="1" applyAlignment="1" applyProtection="1">
      <alignment horizontal="center"/>
      <protection locked="0"/>
    </xf>
    <xf numFmtId="0" fontId="0" fillId="11" borderId="37" xfId="0" applyFill="1" applyBorder="1" applyAlignment="1" applyProtection="1">
      <alignment horizontal="center"/>
      <protection locked="0"/>
    </xf>
    <xf numFmtId="0" fontId="0" fillId="11" borderId="13" xfId="0" applyFill="1" applyBorder="1" applyAlignment="1" applyProtection="1">
      <alignment horizontal="center"/>
      <protection locked="0"/>
    </xf>
    <xf numFmtId="0" fontId="0" fillId="11" borderId="14" xfId="0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37" xfId="0" applyBorder="1" applyAlignment="1" applyProtection="1">
      <alignment horizontal="left" wrapText="1"/>
      <protection locked="0"/>
    </xf>
    <xf numFmtId="0" fontId="0" fillId="0" borderId="13" xfId="0" applyBorder="1" applyAlignment="1" applyProtection="1">
      <alignment horizontal="left" wrapText="1"/>
      <protection locked="0"/>
    </xf>
    <xf numFmtId="0" fontId="0" fillId="0" borderId="14" xfId="0" applyBorder="1" applyAlignment="1" applyProtection="1">
      <alignment horizontal="left" wrapText="1"/>
      <protection locked="0"/>
    </xf>
    <xf numFmtId="0" fontId="0" fillId="0" borderId="37" xfId="0" applyBorder="1" applyAlignment="1">
      <alignment horizontal="left" wrapText="1"/>
    </xf>
    <xf numFmtId="0" fontId="12" fillId="0" borderId="6" xfId="0" applyFont="1" applyBorder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0" fontId="12" fillId="0" borderId="4" xfId="0" applyFont="1" applyBorder="1" applyAlignment="1">
      <alignment horizontal="center" vertical="top"/>
    </xf>
    <xf numFmtId="0" fontId="0" fillId="15" borderId="12" xfId="0" applyFill="1" applyBorder="1" applyAlignment="1" applyProtection="1">
      <alignment horizontal="center"/>
      <protection locked="0"/>
    </xf>
    <xf numFmtId="0" fontId="0" fillId="15" borderId="14" xfId="0" applyFill="1" applyBorder="1" applyAlignment="1" applyProtection="1">
      <alignment horizontal="center"/>
      <protection locked="0"/>
    </xf>
    <xf numFmtId="0" fontId="0" fillId="15" borderId="32" xfId="0" applyFill="1" applyBorder="1" applyAlignment="1" applyProtection="1">
      <alignment horizontal="center"/>
      <protection locked="0"/>
    </xf>
    <xf numFmtId="0" fontId="0" fillId="15" borderId="34" xfId="0" applyFill="1" applyBorder="1" applyAlignment="1" applyProtection="1">
      <alignment horizontal="center"/>
      <protection locked="0"/>
    </xf>
    <xf numFmtId="0" fontId="7" fillId="3" borderId="33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9" xfId="0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37" xfId="0" applyFont="1" applyBorder="1"/>
    <xf numFmtId="0" fontId="9" fillId="0" borderId="13" xfId="0" applyFont="1" applyBorder="1"/>
    <xf numFmtId="0" fontId="9" fillId="0" borderId="14" xfId="0" applyFont="1" applyBorder="1"/>
    <xf numFmtId="0" fontId="9" fillId="7" borderId="12" xfId="0" applyFont="1" applyFill="1" applyBorder="1" applyAlignment="1" applyProtection="1">
      <alignment horizontal="center"/>
      <protection locked="0"/>
    </xf>
    <xf numFmtId="0" fontId="9" fillId="7" borderId="14" xfId="0" applyFont="1" applyFill="1" applyBorder="1" applyAlignment="1" applyProtection="1">
      <alignment horizontal="center"/>
      <protection locked="0"/>
    </xf>
    <xf numFmtId="0" fontId="9" fillId="0" borderId="37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0" fillId="12" borderId="2" xfId="0" applyFill="1" applyBorder="1" applyAlignment="1">
      <alignment horizontal="left" vertical="top" wrapText="1"/>
    </xf>
    <xf numFmtId="0" fontId="16" fillId="12" borderId="1" xfId="0" applyFont="1" applyFill="1" applyBorder="1" applyAlignment="1">
      <alignment horizontal="left" vertical="center" wrapText="1"/>
    </xf>
    <xf numFmtId="0" fontId="16" fillId="12" borderId="0" xfId="0" applyFont="1" applyFill="1" applyAlignment="1">
      <alignment horizontal="left" vertical="center" wrapText="1"/>
    </xf>
    <xf numFmtId="0" fontId="16" fillId="12" borderId="2" xfId="0" applyFont="1" applyFill="1" applyBorder="1" applyAlignment="1">
      <alignment horizontal="left" vertical="center" wrapText="1"/>
    </xf>
    <xf numFmtId="0" fontId="16" fillId="12" borderId="7" xfId="0" applyFont="1" applyFill="1" applyBorder="1" applyAlignment="1">
      <alignment horizontal="left" vertical="center" wrapText="1"/>
    </xf>
    <xf numFmtId="0" fontId="16" fillId="12" borderId="5" xfId="0" applyFont="1" applyFill="1" applyBorder="1" applyAlignment="1">
      <alignment horizontal="left" vertical="center" wrapText="1"/>
    </xf>
    <xf numFmtId="0" fontId="16" fillId="12" borderId="8" xfId="0" applyFont="1" applyFill="1" applyBorder="1" applyAlignment="1">
      <alignment horizontal="left" vertical="center" wrapText="1"/>
    </xf>
    <xf numFmtId="0" fontId="3" fillId="11" borderId="6" xfId="0" applyFont="1" applyFill="1" applyBorder="1" applyAlignment="1">
      <alignment horizontal="center" vertical="top" wrapText="1"/>
    </xf>
    <xf numFmtId="0" fontId="3" fillId="11" borderId="3" xfId="0" applyFont="1" applyFill="1" applyBorder="1" applyAlignment="1">
      <alignment horizontal="center" vertical="top" wrapText="1"/>
    </xf>
    <xf numFmtId="0" fontId="3" fillId="11" borderId="4" xfId="0" applyFont="1" applyFill="1" applyBorder="1" applyAlignment="1">
      <alignment horizontal="center" vertical="top" wrapText="1"/>
    </xf>
    <xf numFmtId="0" fontId="0" fillId="8" borderId="37" xfId="0" applyFill="1" applyBorder="1" applyAlignment="1" applyProtection="1">
      <alignment horizontal="center"/>
      <protection locked="0"/>
    </xf>
    <xf numFmtId="0" fontId="0" fillId="8" borderId="13" xfId="0" applyFill="1" applyBorder="1" applyAlignment="1" applyProtection="1">
      <alignment horizontal="center"/>
      <protection locked="0"/>
    </xf>
    <xf numFmtId="0" fontId="0" fillId="7" borderId="0" xfId="0" applyFill="1" applyAlignment="1">
      <alignment wrapText="1"/>
    </xf>
    <xf numFmtId="0" fontId="0" fillId="7" borderId="2" xfId="0" applyFill="1" applyBorder="1" applyAlignment="1">
      <alignment wrapText="1"/>
    </xf>
    <xf numFmtId="0" fontId="16" fillId="7" borderId="1" xfId="0" applyFont="1" applyFill="1" applyBorder="1" applyAlignment="1">
      <alignment horizontal="left" vertical="center" wrapText="1"/>
    </xf>
    <xf numFmtId="0" fontId="16" fillId="7" borderId="0" xfId="0" applyFont="1" applyFill="1" applyAlignment="1">
      <alignment horizontal="left" vertical="center" wrapText="1"/>
    </xf>
    <xf numFmtId="0" fontId="16" fillId="7" borderId="2" xfId="0" applyFont="1" applyFill="1" applyBorder="1" applyAlignment="1">
      <alignment horizontal="left" vertical="center" wrapText="1"/>
    </xf>
    <xf numFmtId="0" fontId="16" fillId="7" borderId="7" xfId="0" applyFont="1" applyFill="1" applyBorder="1" applyAlignment="1">
      <alignment horizontal="left" vertical="center" wrapText="1"/>
    </xf>
    <xf numFmtId="0" fontId="16" fillId="7" borderId="5" xfId="0" applyFont="1" applyFill="1" applyBorder="1" applyAlignment="1">
      <alignment horizontal="left" vertical="center" wrapText="1"/>
    </xf>
    <xf numFmtId="0" fontId="16" fillId="7" borderId="8" xfId="0" applyFont="1" applyFill="1" applyBorder="1" applyAlignment="1">
      <alignment horizontal="left" vertical="center" wrapText="1"/>
    </xf>
    <xf numFmtId="0" fontId="3" fillId="8" borderId="6" xfId="0" applyFont="1" applyFill="1" applyBorder="1" applyAlignment="1">
      <alignment horizontal="center" vertical="top" wrapText="1"/>
    </xf>
    <xf numFmtId="0" fontId="3" fillId="8" borderId="3" xfId="0" applyFont="1" applyFill="1" applyBorder="1" applyAlignment="1">
      <alignment horizontal="center" vertical="top" wrapText="1"/>
    </xf>
    <xf numFmtId="0" fontId="3" fillId="8" borderId="4" xfId="0" applyFont="1" applyFill="1" applyBorder="1" applyAlignment="1">
      <alignment horizontal="center" vertical="top" wrapText="1"/>
    </xf>
    <xf numFmtId="0" fontId="0" fillId="8" borderId="2" xfId="0" applyFill="1" applyBorder="1" applyAlignment="1">
      <alignment horizontal="left" vertical="top" wrapText="1"/>
    </xf>
    <xf numFmtId="0" fontId="16" fillId="8" borderId="1" xfId="0" applyFont="1" applyFill="1" applyBorder="1" applyAlignment="1">
      <alignment horizontal="left" vertical="center" wrapText="1"/>
    </xf>
    <xf numFmtId="0" fontId="16" fillId="8" borderId="0" xfId="0" applyFont="1" applyFill="1" applyAlignment="1">
      <alignment horizontal="left" vertical="center" wrapText="1"/>
    </xf>
    <xf numFmtId="0" fontId="16" fillId="8" borderId="2" xfId="0" applyFont="1" applyFill="1" applyBorder="1" applyAlignment="1">
      <alignment horizontal="left" vertical="center" wrapText="1"/>
    </xf>
    <xf numFmtId="0" fontId="16" fillId="8" borderId="7" xfId="0" applyFont="1" applyFill="1" applyBorder="1" applyAlignment="1">
      <alignment horizontal="left" vertical="center" wrapText="1"/>
    </xf>
    <xf numFmtId="0" fontId="16" fillId="8" borderId="5" xfId="0" applyFont="1" applyFill="1" applyBorder="1" applyAlignment="1">
      <alignment horizontal="left" vertical="center" wrapText="1"/>
    </xf>
    <xf numFmtId="0" fontId="16" fillId="8" borderId="8" xfId="0" applyFont="1" applyFill="1" applyBorder="1" applyAlignment="1">
      <alignment horizontal="left" vertical="center" wrapText="1"/>
    </xf>
    <xf numFmtId="0" fontId="3" fillId="12" borderId="6" xfId="0" applyFont="1" applyFill="1" applyBorder="1" applyAlignment="1">
      <alignment horizontal="center" vertical="top" wrapText="1"/>
    </xf>
    <xf numFmtId="0" fontId="3" fillId="12" borderId="3" xfId="0" applyFont="1" applyFill="1" applyBorder="1" applyAlignment="1">
      <alignment horizontal="center" vertical="top" wrapText="1"/>
    </xf>
    <xf numFmtId="0" fontId="3" fillId="12" borderId="4" xfId="0" applyFont="1" applyFill="1" applyBorder="1" applyAlignment="1">
      <alignment horizontal="center" vertical="top" wrapText="1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0" fillId="14" borderId="0" xfId="0" applyFill="1" applyAlignment="1">
      <alignment horizontal="left" vertical="top" wrapText="1"/>
    </xf>
    <xf numFmtId="0" fontId="0" fillId="14" borderId="2" xfId="0" applyFill="1" applyBorder="1" applyAlignment="1">
      <alignment horizontal="left" vertical="top" wrapText="1"/>
    </xf>
    <xf numFmtId="0" fontId="0" fillId="14" borderId="5" xfId="0" applyFill="1" applyBorder="1" applyAlignment="1">
      <alignment horizontal="left" vertical="top" wrapText="1"/>
    </xf>
    <xf numFmtId="0" fontId="0" fillId="14" borderId="8" xfId="0" applyFill="1" applyBorder="1" applyAlignment="1">
      <alignment horizontal="left" vertical="top" wrapText="1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11" borderId="2" xfId="0" applyFill="1" applyBorder="1" applyAlignment="1">
      <alignment horizontal="left" vertical="top" wrapText="1"/>
    </xf>
    <xf numFmtId="0" fontId="16" fillId="11" borderId="1" xfId="0" applyFont="1" applyFill="1" applyBorder="1" applyAlignment="1">
      <alignment horizontal="left" vertical="center" wrapText="1"/>
    </xf>
    <xf numFmtId="0" fontId="16" fillId="11" borderId="0" xfId="0" applyFont="1" applyFill="1" applyAlignment="1">
      <alignment horizontal="left" vertical="center" wrapText="1"/>
    </xf>
    <xf numFmtId="0" fontId="16" fillId="11" borderId="2" xfId="0" applyFont="1" applyFill="1" applyBorder="1" applyAlignment="1">
      <alignment horizontal="left" vertical="center" wrapText="1"/>
    </xf>
    <xf numFmtId="0" fontId="16" fillId="11" borderId="7" xfId="0" applyFont="1" applyFill="1" applyBorder="1" applyAlignment="1">
      <alignment horizontal="left" vertical="center" wrapText="1"/>
    </xf>
    <xf numFmtId="0" fontId="16" fillId="11" borderId="5" xfId="0" applyFont="1" applyFill="1" applyBorder="1" applyAlignment="1">
      <alignment horizontal="left" vertical="center" wrapText="1"/>
    </xf>
    <xf numFmtId="0" fontId="16" fillId="11" borderId="8" xfId="0" applyFont="1" applyFill="1" applyBorder="1" applyAlignment="1">
      <alignment horizontal="left" vertical="center" wrapText="1"/>
    </xf>
    <xf numFmtId="0" fontId="3" fillId="14" borderId="6" xfId="0" applyFont="1" applyFill="1" applyBorder="1" applyAlignment="1">
      <alignment horizontal="center" vertical="top" wrapText="1"/>
    </xf>
    <xf numFmtId="0" fontId="3" fillId="14" borderId="3" xfId="0" applyFont="1" applyFill="1" applyBorder="1" applyAlignment="1">
      <alignment horizontal="center" vertical="top" wrapText="1"/>
    </xf>
    <xf numFmtId="0" fontId="3" fillId="14" borderId="4" xfId="0" applyFont="1" applyFill="1" applyBorder="1" applyAlignment="1">
      <alignment horizontal="center" vertical="top" wrapText="1"/>
    </xf>
    <xf numFmtId="0" fontId="3" fillId="15" borderId="6" xfId="0" applyFont="1" applyFill="1" applyBorder="1" applyAlignment="1">
      <alignment horizontal="center" vertical="top" wrapText="1"/>
    </xf>
    <xf numFmtId="0" fontId="3" fillId="15" borderId="3" xfId="0" applyFont="1" applyFill="1" applyBorder="1" applyAlignment="1">
      <alignment horizontal="center" vertical="top" wrapText="1"/>
    </xf>
    <xf numFmtId="0" fontId="3" fillId="15" borderId="4" xfId="0" applyFont="1" applyFill="1" applyBorder="1" applyAlignment="1">
      <alignment horizontal="center" vertical="top" wrapText="1"/>
    </xf>
    <xf numFmtId="0" fontId="0" fillId="15" borderId="2" xfId="0" applyFill="1" applyBorder="1" applyAlignment="1">
      <alignment horizontal="left"/>
    </xf>
    <xf numFmtId="0" fontId="0" fillId="15" borderId="8" xfId="0" applyFill="1" applyBorder="1" applyAlignment="1">
      <alignment horizontal="left"/>
    </xf>
    <xf numFmtId="0" fontId="3" fillId="13" borderId="6" xfId="0" applyFont="1" applyFill="1" applyBorder="1" applyAlignment="1">
      <alignment horizontal="center" vertical="top" wrapText="1"/>
    </xf>
    <xf numFmtId="0" fontId="3" fillId="13" borderId="3" xfId="0" applyFont="1" applyFill="1" applyBorder="1" applyAlignment="1">
      <alignment horizontal="center" vertical="top" wrapText="1"/>
    </xf>
    <xf numFmtId="0" fontId="3" fillId="13" borderId="4" xfId="0" applyFont="1" applyFill="1" applyBorder="1" applyAlignment="1">
      <alignment horizontal="center" vertical="top" wrapText="1"/>
    </xf>
    <xf numFmtId="0" fontId="0" fillId="13" borderId="2" xfId="0" applyFill="1" applyBorder="1" applyAlignment="1">
      <alignment horizontal="left" vertical="top"/>
    </xf>
    <xf numFmtId="0" fontId="0" fillId="13" borderId="0" xfId="0" applyFill="1" applyAlignment="1">
      <alignment horizontal="left" vertical="top" wrapText="1"/>
    </xf>
    <xf numFmtId="0" fontId="0" fillId="13" borderId="2" xfId="0" applyFill="1" applyBorder="1" applyAlignment="1">
      <alignment horizontal="left" vertical="top" wrapText="1"/>
    </xf>
    <xf numFmtId="0" fontId="0" fillId="13" borderId="5" xfId="0" applyFill="1" applyBorder="1" applyAlignment="1">
      <alignment horizontal="left" vertical="top" wrapText="1"/>
    </xf>
    <xf numFmtId="0" fontId="0" fillId="13" borderId="8" xfId="0" applyFill="1" applyBorder="1" applyAlignment="1">
      <alignment horizontal="left" vertical="top" wrapText="1"/>
    </xf>
    <xf numFmtId="0" fontId="0" fillId="7" borderId="6" xfId="0" applyFill="1" applyBorder="1" applyAlignment="1">
      <alignment horizontal="center" vertical="top" wrapText="1"/>
    </xf>
    <xf numFmtId="0" fontId="0" fillId="7" borderId="3" xfId="0" applyFill="1" applyBorder="1" applyAlignment="1">
      <alignment horizontal="center" vertical="top" wrapText="1"/>
    </xf>
    <xf numFmtId="0" fontId="0" fillId="7" borderId="4" xfId="0" applyFill="1" applyBorder="1" applyAlignment="1">
      <alignment horizontal="center" vertical="top" wrapText="1"/>
    </xf>
    <xf numFmtId="0" fontId="20" fillId="0" borderId="6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ABAD"/>
      <color rgb="FFE0C1FF"/>
      <color rgb="FFC0E399"/>
      <color rgb="FF99FFCC"/>
      <color rgb="FFFFD28F"/>
      <color rgb="FF5D0022"/>
      <color rgb="FF66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74037</xdr:colOff>
      <xdr:row>57</xdr:row>
      <xdr:rowOff>98138</xdr:rowOff>
    </xdr:from>
    <xdr:to>
      <xdr:col>9</xdr:col>
      <xdr:colOff>1587500</xdr:colOff>
      <xdr:row>63</xdr:row>
      <xdr:rowOff>96085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2F0361F-8C16-4B6D-97AE-16530CB4A67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7863"/>
        <a:stretch/>
      </xdr:blipFill>
      <xdr:spPr>
        <a:xfrm>
          <a:off x="14919567" y="10960486"/>
          <a:ext cx="1513463" cy="11140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wilkerson\Desktop\Copy%20of%20Copy%20of%20FPA%20Budgets%20Spring%202019-Spring%202021%20(002)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all to Spring-FPA Projected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64"/>
  <sheetViews>
    <sheetView showGridLines="0" tabSelected="1" showRuler="0" zoomScale="99" zoomScaleNormal="99" zoomScalePageLayoutView="90" workbookViewId="0">
      <selection activeCell="E5" sqref="E5:F5"/>
    </sheetView>
  </sheetViews>
  <sheetFormatPr defaultRowHeight="14.5" x14ac:dyDescent="0.35"/>
  <cols>
    <col min="1" max="1" width="19.26953125" customWidth="1"/>
    <col min="2" max="2" width="13.453125" customWidth="1"/>
    <col min="3" max="3" width="17.7265625" customWidth="1"/>
    <col min="4" max="4" width="19.81640625" customWidth="1"/>
    <col min="5" max="5" width="26.81640625" customWidth="1"/>
    <col min="6" max="6" width="25" customWidth="1"/>
    <col min="7" max="7" width="5.453125" customWidth="1"/>
    <col min="8" max="8" width="2" style="29" customWidth="1"/>
    <col min="9" max="9" width="92.81640625" customWidth="1"/>
    <col min="10" max="10" width="25.26953125" customWidth="1"/>
  </cols>
  <sheetData>
    <row r="1" spans="1:10" ht="18.75" customHeight="1" x14ac:dyDescent="0.35">
      <c r="A1" s="192" t="s">
        <v>199</v>
      </c>
      <c r="B1" s="193"/>
      <c r="C1" s="193"/>
      <c r="D1" s="193"/>
      <c r="E1" s="193"/>
      <c r="F1" s="194"/>
      <c r="H1" s="248" t="s">
        <v>186</v>
      </c>
      <c r="I1" s="248"/>
      <c r="J1" s="248"/>
    </row>
    <row r="2" spans="1:10" x14ac:dyDescent="0.35">
      <c r="A2" s="65" t="s">
        <v>1</v>
      </c>
      <c r="B2" s="195"/>
      <c r="C2" s="196"/>
      <c r="D2" s="57"/>
      <c r="E2" s="53" t="s">
        <v>0</v>
      </c>
      <c r="F2" s="116"/>
      <c r="H2" s="249" t="s">
        <v>143</v>
      </c>
      <c r="I2" s="249"/>
      <c r="J2" s="249"/>
    </row>
    <row r="3" spans="1:10" ht="6.65" customHeight="1" thickBot="1" x14ac:dyDescent="0.4">
      <c r="A3" s="4"/>
      <c r="F3" s="3"/>
    </row>
    <row r="4" spans="1:10" ht="15.75" customHeight="1" x14ac:dyDescent="0.35">
      <c r="A4" s="153" t="s">
        <v>17</v>
      </c>
      <c r="B4" s="154"/>
      <c r="C4" s="154"/>
      <c r="D4" s="154"/>
      <c r="E4" s="154"/>
      <c r="F4" s="155"/>
      <c r="H4" s="269" t="s">
        <v>119</v>
      </c>
      <c r="I4" s="270"/>
      <c r="J4" s="271"/>
    </row>
    <row r="5" spans="1:10" x14ac:dyDescent="0.35">
      <c r="A5" s="136" t="s">
        <v>103</v>
      </c>
      <c r="B5" s="137"/>
      <c r="C5" s="199"/>
      <c r="D5" s="82" t="s">
        <v>18</v>
      </c>
      <c r="E5" s="197"/>
      <c r="F5" s="198"/>
      <c r="H5" s="115" t="s">
        <v>124</v>
      </c>
      <c r="I5" s="272" t="s">
        <v>187</v>
      </c>
      <c r="J5" s="272"/>
    </row>
    <row r="6" spans="1:10" x14ac:dyDescent="0.35">
      <c r="A6" s="200"/>
      <c r="B6" s="201"/>
      <c r="C6" s="64" t="s">
        <v>3</v>
      </c>
      <c r="D6" s="64" t="s">
        <v>90</v>
      </c>
      <c r="E6" s="64" t="s">
        <v>91</v>
      </c>
      <c r="F6" s="66" t="s">
        <v>5</v>
      </c>
      <c r="H6" s="115" t="s">
        <v>124</v>
      </c>
      <c r="I6" s="272" t="s">
        <v>125</v>
      </c>
      <c r="J6" s="272"/>
    </row>
    <row r="7" spans="1:10" x14ac:dyDescent="0.35">
      <c r="A7" s="140" t="s">
        <v>120</v>
      </c>
      <c r="B7" s="141"/>
      <c r="C7" s="114"/>
      <c r="D7" s="14">
        <f>IF(C7=0,0,IF(E5="",0,VLOOKUP(E5,Data!A5:B9,2,FALSE)))</f>
        <v>0</v>
      </c>
      <c r="E7" s="14">
        <f>IF(C7=0,0,Data!B11)</f>
        <v>0</v>
      </c>
      <c r="F7" s="67">
        <f>C7*(D7+E7)</f>
        <v>0</v>
      </c>
      <c r="H7" s="115" t="s">
        <v>124</v>
      </c>
      <c r="I7" s="272" t="s">
        <v>126</v>
      </c>
      <c r="J7" s="272"/>
    </row>
    <row r="8" spans="1:10" ht="15" customHeight="1" x14ac:dyDescent="0.35">
      <c r="A8" s="129" t="s">
        <v>192</v>
      </c>
      <c r="B8" s="130"/>
      <c r="C8" s="114"/>
      <c r="D8" s="14">
        <f>_xlfn.IFS(C8="",0,E5="",0,E5="In-State",VLOOKUP(A8,Data!K3:L4,2,FALSE),E5&lt;&gt;"In-State",VLOOKUP(E5,Data!A5:B8,2,FALSE))</f>
        <v>0</v>
      </c>
      <c r="E8" s="14">
        <f>IF(C8=0,0,Data!B11)</f>
        <v>0</v>
      </c>
      <c r="F8" s="67">
        <f>C8*(D8+E8)</f>
        <v>0</v>
      </c>
      <c r="H8" s="115" t="s">
        <v>124</v>
      </c>
      <c r="I8" s="133" t="s">
        <v>194</v>
      </c>
      <c r="J8" s="134"/>
    </row>
    <row r="9" spans="1:10" x14ac:dyDescent="0.35">
      <c r="A9" s="140" t="s">
        <v>7</v>
      </c>
      <c r="B9" s="141"/>
      <c r="C9" s="114"/>
      <c r="D9" s="14">
        <f>IF(C9=0,0,Data!B9)</f>
        <v>0</v>
      </c>
      <c r="E9" s="14">
        <v>0</v>
      </c>
      <c r="F9" s="67">
        <f>C9*D9</f>
        <v>0</v>
      </c>
      <c r="H9" s="115"/>
      <c r="I9" s="133"/>
      <c r="J9" s="134"/>
    </row>
    <row r="10" spans="1:10" ht="15.75" customHeight="1" x14ac:dyDescent="0.35">
      <c r="A10" s="140" t="s">
        <v>8</v>
      </c>
      <c r="B10" s="141"/>
      <c r="C10" s="114"/>
      <c r="D10" s="14">
        <f>IF(C10="Yes",-116,0)</f>
        <v>0</v>
      </c>
      <c r="E10" s="54"/>
      <c r="F10" s="67">
        <f>_xlfn.IFS(C10="",0,C10="No",0,C10="Yes",IF(E5="In-State",(C7+C8+C9)*D10,0))</f>
        <v>0</v>
      </c>
      <c r="H10" s="115"/>
      <c r="I10" s="133"/>
      <c r="J10" s="134"/>
    </row>
    <row r="11" spans="1:10" ht="15.75" customHeight="1" thickBot="1" x14ac:dyDescent="0.4">
      <c r="A11" s="142" t="s">
        <v>102</v>
      </c>
      <c r="B11" s="143"/>
      <c r="C11" s="143"/>
      <c r="D11" s="143"/>
      <c r="E11" s="13" t="s">
        <v>108</v>
      </c>
      <c r="F11" s="68">
        <f>SUM(F7:F10)</f>
        <v>0</v>
      </c>
      <c r="H11" s="115" t="s">
        <v>124</v>
      </c>
      <c r="I11" s="272" t="s">
        <v>127</v>
      </c>
      <c r="J11" s="272"/>
    </row>
    <row r="12" spans="1:10" ht="15.5" thickTop="1" thickBot="1" x14ac:dyDescent="0.4">
      <c r="A12" s="4"/>
      <c r="F12" s="3"/>
      <c r="H12" s="124" t="s">
        <v>124</v>
      </c>
      <c r="I12" s="273" t="s">
        <v>195</v>
      </c>
      <c r="J12" s="273"/>
    </row>
    <row r="13" spans="1:10" ht="15" customHeight="1" x14ac:dyDescent="0.35">
      <c r="A13" s="136" t="s">
        <v>10</v>
      </c>
      <c r="B13" s="137"/>
      <c r="C13" s="137"/>
      <c r="D13" s="137"/>
      <c r="E13" s="137"/>
      <c r="F13" s="138"/>
      <c r="H13" s="131" t="s">
        <v>197</v>
      </c>
      <c r="I13" s="132"/>
      <c r="J13" s="132"/>
    </row>
    <row r="14" spans="1:10" ht="15" customHeight="1" thickBot="1" x14ac:dyDescent="0.4">
      <c r="A14" s="144"/>
      <c r="B14" s="145"/>
      <c r="C14" s="145"/>
      <c r="D14" s="64" t="s">
        <v>12</v>
      </c>
      <c r="E14" s="64" t="s">
        <v>13</v>
      </c>
      <c r="F14" s="66" t="s">
        <v>5</v>
      </c>
    </row>
    <row r="15" spans="1:10" ht="15" customHeight="1" x14ac:dyDescent="0.35">
      <c r="A15" s="11" t="s">
        <v>25</v>
      </c>
      <c r="B15" s="139"/>
      <c r="C15" s="139"/>
      <c r="D15" s="14">
        <f>IF(B15="",0,VLOOKUP(B15,Data!A15:C40,3,FALSE))</f>
        <v>0</v>
      </c>
      <c r="E15" s="14">
        <f>IF(B15="",0,Data!C42)</f>
        <v>0</v>
      </c>
      <c r="F15" s="67">
        <f>SUM(D15:E15)</f>
        <v>0</v>
      </c>
      <c r="H15" s="274" t="s">
        <v>121</v>
      </c>
      <c r="I15" s="275"/>
      <c r="J15" s="276"/>
    </row>
    <row r="16" spans="1:10" x14ac:dyDescent="0.35">
      <c r="A16" s="11" t="s">
        <v>11</v>
      </c>
      <c r="B16" s="139"/>
      <c r="C16" s="139"/>
      <c r="D16" s="14">
        <f>IF(B16="",0,VLOOKUP(B16,Data!A48:C50,3,FALSE))</f>
        <v>0</v>
      </c>
      <c r="E16" s="54"/>
      <c r="F16" s="67">
        <f>D16</f>
        <v>0</v>
      </c>
      <c r="H16" s="88" t="s">
        <v>124</v>
      </c>
      <c r="I16" s="277" t="s">
        <v>128</v>
      </c>
      <c r="J16" s="277"/>
    </row>
    <row r="17" spans="1:10" ht="16.5" customHeight="1" thickBot="1" x14ac:dyDescent="0.4">
      <c r="A17" s="142" t="s">
        <v>129</v>
      </c>
      <c r="B17" s="143"/>
      <c r="C17" s="143"/>
      <c r="D17" s="81"/>
      <c r="E17" s="63" t="s">
        <v>14</v>
      </c>
      <c r="F17" s="69">
        <f>SUM(F15:F16)</f>
        <v>0</v>
      </c>
      <c r="H17" s="88" t="s">
        <v>124</v>
      </c>
      <c r="I17" s="278" t="s">
        <v>130</v>
      </c>
      <c r="J17" s="279"/>
    </row>
    <row r="18" spans="1:10" ht="15" customHeight="1" thickTop="1" thickBot="1" x14ac:dyDescent="0.4">
      <c r="A18" s="4"/>
      <c r="F18" s="3"/>
      <c r="H18" s="92"/>
      <c r="I18" s="280"/>
      <c r="J18" s="281"/>
    </row>
    <row r="19" spans="1:10" ht="15" customHeight="1" thickBot="1" x14ac:dyDescent="0.4">
      <c r="A19" s="202" t="s">
        <v>15</v>
      </c>
      <c r="B19" s="203"/>
      <c r="C19" s="203"/>
      <c r="D19" s="203"/>
      <c r="E19" s="203"/>
      <c r="F19" s="204"/>
    </row>
    <row r="20" spans="1:10" ht="15" customHeight="1" x14ac:dyDescent="0.35">
      <c r="A20" s="205" t="s">
        <v>116</v>
      </c>
      <c r="B20" s="206"/>
      <c r="C20" s="206"/>
      <c r="D20" s="206"/>
      <c r="E20" s="206"/>
      <c r="F20" s="70" t="s">
        <v>5</v>
      </c>
      <c r="H20" s="282" t="s">
        <v>122</v>
      </c>
      <c r="I20" s="283"/>
      <c r="J20" s="284"/>
    </row>
    <row r="21" spans="1:10" x14ac:dyDescent="0.35">
      <c r="A21" s="212" t="s">
        <v>144</v>
      </c>
      <c r="B21" s="213"/>
      <c r="C21" s="213"/>
      <c r="D21" s="213"/>
      <c r="E21" s="214"/>
      <c r="F21" s="84"/>
      <c r="H21" s="93" t="s">
        <v>124</v>
      </c>
      <c r="I21" s="228" t="s">
        <v>157</v>
      </c>
      <c r="J21" s="228"/>
    </row>
    <row r="22" spans="1:10" ht="15" customHeight="1" x14ac:dyDescent="0.35">
      <c r="A22" s="148" t="s">
        <v>104</v>
      </c>
      <c r="B22" s="149"/>
      <c r="C22" s="150"/>
      <c r="D22" s="151"/>
      <c r="E22" s="152"/>
      <c r="F22" s="67">
        <f>_xlfn.IFS(D22="", 0, D22="Yes", 140, D22="No",0)</f>
        <v>0</v>
      </c>
      <c r="H22" s="93" t="s">
        <v>124</v>
      </c>
      <c r="I22" s="227" t="s">
        <v>145</v>
      </c>
      <c r="J22" s="228"/>
    </row>
    <row r="23" spans="1:10" x14ac:dyDescent="0.35">
      <c r="A23" s="148" t="s">
        <v>123</v>
      </c>
      <c r="B23" s="149"/>
      <c r="C23" s="150"/>
      <c r="D23" s="151"/>
      <c r="E23" s="152"/>
      <c r="F23" s="118">
        <f>_xlfn.IFS(D23="", 0, D23="Yes", 90, D23="No",0)</f>
        <v>0</v>
      </c>
      <c r="H23" s="93"/>
      <c r="I23" s="227"/>
      <c r="J23" s="228"/>
    </row>
    <row r="24" spans="1:10" ht="15" customHeight="1" x14ac:dyDescent="0.35">
      <c r="A24" s="148" t="s">
        <v>118</v>
      </c>
      <c r="B24" s="149"/>
      <c r="C24" s="150"/>
      <c r="D24" s="151"/>
      <c r="E24" s="152"/>
      <c r="F24" s="118">
        <f>_xlfn.IFS($D$24="",0,$D$24="Yes",430,$D$24="No",0)</f>
        <v>0</v>
      </c>
      <c r="H24" s="93" t="s">
        <v>124</v>
      </c>
      <c r="I24" s="227" t="s">
        <v>142</v>
      </c>
      <c r="J24" s="228"/>
    </row>
    <row r="25" spans="1:10" ht="15" customHeight="1" x14ac:dyDescent="0.35">
      <c r="A25" s="207" t="s">
        <v>109</v>
      </c>
      <c r="B25" s="208"/>
      <c r="C25" s="209"/>
      <c r="D25" s="210"/>
      <c r="E25" s="211"/>
      <c r="F25" s="118">
        <f>IF(D25="", 0,VLOOKUP(D25,Data!A72:B78,2,FALSE))</f>
        <v>0</v>
      </c>
      <c r="H25" s="93"/>
      <c r="I25" s="227"/>
      <c r="J25" s="228"/>
    </row>
    <row r="26" spans="1:10" x14ac:dyDescent="0.35">
      <c r="A26" s="156"/>
      <c r="B26" s="157"/>
      <c r="C26" s="157"/>
      <c r="D26" s="157"/>
      <c r="E26" s="152"/>
      <c r="F26" s="84">
        <v>0</v>
      </c>
      <c r="H26" s="93" t="s">
        <v>124</v>
      </c>
      <c r="I26" s="228" t="s">
        <v>156</v>
      </c>
      <c r="J26" s="228"/>
    </row>
    <row r="27" spans="1:10" ht="15.75" customHeight="1" x14ac:dyDescent="0.35">
      <c r="A27" s="156"/>
      <c r="B27" s="157"/>
      <c r="C27" s="157"/>
      <c r="D27" s="157"/>
      <c r="E27" s="152"/>
      <c r="F27" s="84">
        <v>0</v>
      </c>
      <c r="H27" s="229" t="s">
        <v>158</v>
      </c>
      <c r="I27" s="230"/>
      <c r="J27" s="231"/>
    </row>
    <row r="28" spans="1:10" ht="14.5" customHeight="1" thickBot="1" x14ac:dyDescent="0.4">
      <c r="A28" s="158" t="s">
        <v>16</v>
      </c>
      <c r="B28" s="159"/>
      <c r="C28" s="159"/>
      <c r="D28" s="159"/>
      <c r="E28" s="159"/>
      <c r="F28" s="69">
        <f>SUM(F21:F27)</f>
        <v>0</v>
      </c>
      <c r="H28" s="229"/>
      <c r="I28" s="230"/>
      <c r="J28" s="231"/>
    </row>
    <row r="29" spans="1:10" ht="14.5" customHeight="1" thickTop="1" thickBot="1" x14ac:dyDescent="0.4">
      <c r="A29" s="160" t="s">
        <v>196</v>
      </c>
      <c r="B29" s="161"/>
      <c r="C29" s="161"/>
      <c r="D29" s="161"/>
      <c r="E29" s="161"/>
      <c r="F29" s="71">
        <f>SUM(F11,F17,F28)</f>
        <v>0</v>
      </c>
      <c r="H29" s="232"/>
      <c r="I29" s="233"/>
      <c r="J29" s="234"/>
    </row>
    <row r="30" spans="1:10" ht="14.5" customHeight="1" thickBot="1" x14ac:dyDescent="0.4">
      <c r="A30" s="4"/>
      <c r="F30" s="3"/>
    </row>
    <row r="31" spans="1:10" ht="14.5" customHeight="1" x14ac:dyDescent="0.35">
      <c r="A31" s="153" t="s">
        <v>105</v>
      </c>
      <c r="B31" s="154"/>
      <c r="C31" s="154"/>
      <c r="D31" s="154"/>
      <c r="E31" s="154"/>
      <c r="F31" s="155"/>
      <c r="H31" s="235" t="s">
        <v>146</v>
      </c>
      <c r="I31" s="236"/>
      <c r="J31" s="237"/>
    </row>
    <row r="32" spans="1:10" ht="14.5" customHeight="1" x14ac:dyDescent="0.35">
      <c r="A32" s="162" t="s">
        <v>19</v>
      </c>
      <c r="B32" s="163"/>
      <c r="C32" s="163"/>
      <c r="D32" s="163"/>
      <c r="E32" s="62" t="s">
        <v>20</v>
      </c>
      <c r="F32" s="72" t="s">
        <v>106</v>
      </c>
      <c r="H32" s="91" t="s">
        <v>124</v>
      </c>
      <c r="I32" s="238" t="s">
        <v>147</v>
      </c>
      <c r="J32" s="238"/>
    </row>
    <row r="33" spans="1:10" ht="14.5" customHeight="1" x14ac:dyDescent="0.35">
      <c r="A33" s="140" t="s">
        <v>132</v>
      </c>
      <c r="B33" s="141"/>
      <c r="C33" s="146"/>
      <c r="D33" s="147"/>
      <c r="E33" s="119">
        <f>_xlfn.IFS(C33="",0,AND(C33="Distinguished Scholar", E5="In-State"), "Tuition Only",C33&lt;&gt;"", VLOOKUP(C33,Data!H4:I9,2,FALSE))</f>
        <v>0</v>
      </c>
      <c r="F33" s="67">
        <f>IF(E33=0,0, IF(AND(C33="Distinguished Scholar", E5="In-State"), (SUM(C7*D7,C9*D9,C8*D8)-(SUM(C7:C9)*Data!B10)),E33/2))</f>
        <v>0</v>
      </c>
      <c r="H33" s="91" t="s">
        <v>124</v>
      </c>
      <c r="I33" s="238" t="s">
        <v>148</v>
      </c>
      <c r="J33" s="238"/>
    </row>
    <row r="34" spans="1:10" ht="15.75" customHeight="1" x14ac:dyDescent="0.35">
      <c r="A34" s="140" t="s">
        <v>138</v>
      </c>
      <c r="B34" s="141"/>
      <c r="C34" s="146"/>
      <c r="D34" s="147"/>
      <c r="E34" s="119">
        <f>_xlfn.IFS(C34="",0,C34&lt;&gt;"",VLOOKUP(C34,Data!H12:I15,2,FALSE))</f>
        <v>0</v>
      </c>
      <c r="F34" s="67">
        <f>E34/2</f>
        <v>0</v>
      </c>
      <c r="H34" s="94" t="s">
        <v>124</v>
      </c>
      <c r="I34" s="238" t="s">
        <v>149</v>
      </c>
      <c r="J34" s="238"/>
    </row>
    <row r="35" spans="1:10" ht="14.5" customHeight="1" x14ac:dyDescent="0.35">
      <c r="A35" s="225"/>
      <c r="B35" s="226"/>
      <c r="C35" s="226"/>
      <c r="D35" s="147"/>
      <c r="E35" s="85">
        <v>0</v>
      </c>
      <c r="F35" s="67">
        <f t="shared" ref="F35:F36" si="0">IF(E35=0,0, E35/2)</f>
        <v>0</v>
      </c>
      <c r="H35" s="239" t="s">
        <v>150</v>
      </c>
      <c r="I35" s="240"/>
      <c r="J35" s="241"/>
    </row>
    <row r="36" spans="1:10" ht="14.5" customHeight="1" x14ac:dyDescent="0.35">
      <c r="A36" s="225"/>
      <c r="B36" s="226"/>
      <c r="C36" s="226"/>
      <c r="D36" s="147"/>
      <c r="E36" s="86">
        <v>0</v>
      </c>
      <c r="F36" s="73">
        <f t="shared" si="0"/>
        <v>0</v>
      </c>
      <c r="H36" s="239"/>
      <c r="I36" s="240"/>
      <c r="J36" s="241"/>
    </row>
    <row r="37" spans="1:10" ht="14.5" customHeight="1" thickBot="1" x14ac:dyDescent="0.4">
      <c r="A37" s="142" t="str">
        <f>_xlfn.IFS(SUM(C7:C9)&lt;12,"You must be registered for 12 credits to receive most scholarships!", SUM(C7:C9)&gt;=12, "Learn more at www.coloradomesa.edu/financial-aid/scholarships")</f>
        <v>You must be registered for 12 credits to receive most scholarships!</v>
      </c>
      <c r="B37" s="143"/>
      <c r="C37" s="143"/>
      <c r="D37" s="143"/>
      <c r="E37" s="143"/>
      <c r="F37" s="74">
        <f>SUM(F33:F36)</f>
        <v>0</v>
      </c>
      <c r="H37" s="242"/>
      <c r="I37" s="243"/>
      <c r="J37" s="244"/>
    </row>
    <row r="38" spans="1:10" ht="14.5" customHeight="1" thickTop="1" thickBot="1" x14ac:dyDescent="0.4">
      <c r="A38" s="4"/>
      <c r="B38" s="55"/>
      <c r="F38" s="75"/>
    </row>
    <row r="39" spans="1:10" ht="14.5" customHeight="1" x14ac:dyDescent="0.35">
      <c r="A39" s="162" t="s">
        <v>110</v>
      </c>
      <c r="B39" s="163"/>
      <c r="C39" s="163"/>
      <c r="D39" s="163"/>
      <c r="E39" s="62" t="s">
        <v>20</v>
      </c>
      <c r="F39" s="72" t="s">
        <v>106</v>
      </c>
      <c r="H39" s="245" t="s">
        <v>151</v>
      </c>
      <c r="I39" s="246"/>
      <c r="J39" s="247"/>
    </row>
    <row r="40" spans="1:10" ht="15" customHeight="1" x14ac:dyDescent="0.35">
      <c r="A40" s="188" t="s">
        <v>22</v>
      </c>
      <c r="B40" s="189"/>
      <c r="C40" s="189"/>
      <c r="D40" s="190"/>
      <c r="E40" s="87">
        <v>0</v>
      </c>
      <c r="F40" s="67">
        <f>IF(E40=0,0,(E40/2)*0.98943)</f>
        <v>0</v>
      </c>
      <c r="H40" s="95" t="s">
        <v>124</v>
      </c>
      <c r="I40" s="215" t="s">
        <v>152</v>
      </c>
      <c r="J40" s="215"/>
    </row>
    <row r="41" spans="1:10" ht="14.5" customHeight="1" x14ac:dyDescent="0.35">
      <c r="A41" s="188" t="s">
        <v>23</v>
      </c>
      <c r="B41" s="189"/>
      <c r="C41" s="189"/>
      <c r="D41" s="190"/>
      <c r="E41" s="87">
        <v>0</v>
      </c>
      <c r="F41" s="67">
        <f>IF(E41=0,0,(E41/2)*0.98943)</f>
        <v>0</v>
      </c>
      <c r="H41" s="95"/>
      <c r="I41" s="215"/>
      <c r="J41" s="215"/>
    </row>
    <row r="42" spans="1:10" ht="14.5" customHeight="1" x14ac:dyDescent="0.35">
      <c r="A42" s="188" t="s">
        <v>24</v>
      </c>
      <c r="B42" s="189"/>
      <c r="C42" s="189"/>
      <c r="D42" s="190"/>
      <c r="E42" s="87">
        <v>0</v>
      </c>
      <c r="F42" s="67">
        <f>_xlfn.IFS(E42=0,0,E42&lt;&gt;"",(E42/2)*0.95772)</f>
        <v>0</v>
      </c>
      <c r="H42" s="216" t="s">
        <v>155</v>
      </c>
      <c r="I42" s="217"/>
      <c r="J42" s="218"/>
    </row>
    <row r="43" spans="1:10" ht="14.5" customHeight="1" thickBot="1" x14ac:dyDescent="0.4">
      <c r="A43" s="142" t="s">
        <v>153</v>
      </c>
      <c r="B43" s="143"/>
      <c r="C43" s="143"/>
      <c r="D43" s="143"/>
      <c r="E43" s="63" t="s">
        <v>112</v>
      </c>
      <c r="F43" s="76">
        <f>SUM(F40:F42)</f>
        <v>0</v>
      </c>
      <c r="H43" s="216"/>
      <c r="I43" s="217"/>
      <c r="J43" s="218"/>
    </row>
    <row r="44" spans="1:10" ht="14.5" customHeight="1" thickTop="1" thickBot="1" x14ac:dyDescent="0.4">
      <c r="A44" s="4"/>
      <c r="C44" s="9"/>
      <c r="D44" s="9"/>
      <c r="E44" s="10"/>
      <c r="F44" s="75"/>
      <c r="H44" s="219"/>
      <c r="I44" s="220"/>
      <c r="J44" s="221"/>
    </row>
    <row r="45" spans="1:10" ht="14.5" customHeight="1" thickBot="1" x14ac:dyDescent="0.4">
      <c r="A45" s="162" t="s">
        <v>27</v>
      </c>
      <c r="B45" s="163"/>
      <c r="C45" s="163"/>
      <c r="D45" s="163"/>
      <c r="E45" s="62" t="s">
        <v>20</v>
      </c>
      <c r="F45" s="72" t="s">
        <v>106</v>
      </c>
    </row>
    <row r="46" spans="1:10" ht="15" customHeight="1" x14ac:dyDescent="0.35">
      <c r="A46" s="191" t="s">
        <v>154</v>
      </c>
      <c r="B46" s="186"/>
      <c r="C46" s="186"/>
      <c r="D46" s="187"/>
      <c r="E46" s="89"/>
      <c r="F46" s="67">
        <f>IF(E46=0,0,ROUNDUP((E46*Data!L28)/2,0))</f>
        <v>0</v>
      </c>
      <c r="H46" s="222" t="s">
        <v>177</v>
      </c>
      <c r="I46" s="223"/>
      <c r="J46" s="224"/>
    </row>
    <row r="47" spans="1:10" ht="14.5" customHeight="1" x14ac:dyDescent="0.35">
      <c r="A47" s="185" t="s">
        <v>179</v>
      </c>
      <c r="B47" s="186"/>
      <c r="C47" s="186"/>
      <c r="D47" s="187"/>
      <c r="E47" s="89">
        <v>0</v>
      </c>
      <c r="F47" s="67">
        <f>IF(SUM(C7:C9)&lt;12,0,IF(E47=0,0,E47/2))</f>
        <v>0</v>
      </c>
      <c r="H47" s="83" t="s">
        <v>124</v>
      </c>
      <c r="I47" s="259" t="s">
        <v>178</v>
      </c>
      <c r="J47" s="259"/>
    </row>
    <row r="48" spans="1:10" ht="14.5" customHeight="1" x14ac:dyDescent="0.35">
      <c r="A48" s="182"/>
      <c r="B48" s="183"/>
      <c r="C48" s="183"/>
      <c r="D48" s="184"/>
      <c r="E48" s="89">
        <v>0</v>
      </c>
      <c r="F48" s="67">
        <f>IF(E48=0,0,E48/2)</f>
        <v>0</v>
      </c>
      <c r="H48" s="83" t="s">
        <v>124</v>
      </c>
      <c r="I48" s="259" t="s">
        <v>180</v>
      </c>
      <c r="J48" s="259"/>
    </row>
    <row r="49" spans="1:10" ht="14.5" customHeight="1" thickBot="1" x14ac:dyDescent="0.4">
      <c r="A49" s="142" t="str">
        <f>_xlfn.IFS(SUM(C7:C9)&lt;12,"You must be registered for 12 credits to receive CSG, SEOG, and most grants!", SUM(C7:C9)&gt;=12, "")</f>
        <v>You must be registered for 12 credits to receive CSG, SEOG, and most grants!</v>
      </c>
      <c r="B49" s="143"/>
      <c r="C49" s="143"/>
      <c r="D49" s="143"/>
      <c r="E49" s="120" t="s">
        <v>111</v>
      </c>
      <c r="F49" s="74">
        <f>SUM(F46:F48)</f>
        <v>0</v>
      </c>
      <c r="H49" s="83" t="s">
        <v>124</v>
      </c>
      <c r="I49" s="259" t="s">
        <v>181</v>
      </c>
      <c r="J49" s="259"/>
    </row>
    <row r="50" spans="1:10" ht="14.5" customHeight="1" thickTop="1" x14ac:dyDescent="0.35">
      <c r="A50" s="77"/>
      <c r="C50" s="8"/>
      <c r="E50" s="12"/>
      <c r="F50" s="75"/>
      <c r="H50" s="260" t="s">
        <v>182</v>
      </c>
      <c r="I50" s="261"/>
      <c r="J50" s="262"/>
    </row>
    <row r="51" spans="1:10" ht="14.5" customHeight="1" x14ac:dyDescent="0.35">
      <c r="A51" s="162" t="s">
        <v>21</v>
      </c>
      <c r="B51" s="163"/>
      <c r="C51" s="163"/>
      <c r="D51" s="163"/>
      <c r="E51" s="62" t="s">
        <v>20</v>
      </c>
      <c r="F51" s="72" t="s">
        <v>106</v>
      </c>
      <c r="H51" s="260"/>
      <c r="I51" s="261"/>
      <c r="J51" s="262"/>
    </row>
    <row r="52" spans="1:10" ht="16.5" customHeight="1" thickBot="1" x14ac:dyDescent="0.4">
      <c r="A52" s="179"/>
      <c r="B52" s="180"/>
      <c r="C52" s="180"/>
      <c r="D52" s="181"/>
      <c r="E52" s="90">
        <v>0</v>
      </c>
      <c r="F52" s="67">
        <f>IF(E52=0,0,E52/2)</f>
        <v>0</v>
      </c>
      <c r="H52" s="263"/>
      <c r="I52" s="264"/>
      <c r="J52" s="265"/>
    </row>
    <row r="53" spans="1:10" ht="15.75" customHeight="1" thickBot="1" x14ac:dyDescent="0.4">
      <c r="A53" s="179"/>
      <c r="B53" s="180"/>
      <c r="C53" s="180"/>
      <c r="D53" s="181"/>
      <c r="E53" s="90">
        <v>0</v>
      </c>
      <c r="F53" s="67">
        <f>IF(E53=0,0,E53/2)</f>
        <v>0</v>
      </c>
    </row>
    <row r="54" spans="1:10" ht="14.5" customHeight="1" thickBot="1" x14ac:dyDescent="0.4">
      <c r="A54" s="174" t="s">
        <v>29</v>
      </c>
      <c r="B54" s="175"/>
      <c r="C54" s="175"/>
      <c r="D54" s="175"/>
      <c r="E54" s="175"/>
      <c r="F54" s="78">
        <f>SUM(F52:F53)</f>
        <v>0</v>
      </c>
      <c r="H54" s="266" t="s">
        <v>183</v>
      </c>
      <c r="I54" s="267"/>
      <c r="J54" s="268"/>
    </row>
    <row r="55" spans="1:10" ht="17.25" customHeight="1" thickTop="1" x14ac:dyDescent="0.35">
      <c r="A55" s="160" t="s">
        <v>28</v>
      </c>
      <c r="B55" s="161"/>
      <c r="C55" s="161"/>
      <c r="D55" s="161"/>
      <c r="E55" s="161"/>
      <c r="F55" s="71">
        <f>SUM(F37,F43,F49,F54)</f>
        <v>0</v>
      </c>
      <c r="H55" s="111" t="s">
        <v>124</v>
      </c>
      <c r="I55" s="250" t="s">
        <v>184</v>
      </c>
      <c r="J55" s="251"/>
    </row>
    <row r="56" spans="1:10" ht="15" thickBot="1" x14ac:dyDescent="0.4">
      <c r="A56" s="4"/>
      <c r="F56" s="3"/>
      <c r="H56" s="112"/>
      <c r="I56" s="252"/>
      <c r="J56" s="253"/>
    </row>
    <row r="57" spans="1:10" ht="16" thickBot="1" x14ac:dyDescent="0.4">
      <c r="A57" s="153" t="s">
        <v>98</v>
      </c>
      <c r="B57" s="154"/>
      <c r="C57" s="154"/>
      <c r="D57" s="154"/>
      <c r="E57" s="154"/>
      <c r="F57" s="155"/>
    </row>
    <row r="58" spans="1:10" ht="14.5" customHeight="1" x14ac:dyDescent="0.35">
      <c r="A58" s="172" t="str">
        <f>IF(F58&lt;=0, "Estimated refund", "Estimated amount I will still owe after financial aid has paid")</f>
        <v>Estimated refund</v>
      </c>
      <c r="B58" s="173"/>
      <c r="C58" s="173"/>
      <c r="D58" s="173"/>
      <c r="E58" s="173"/>
      <c r="F58" s="79">
        <f>F29-F55</f>
        <v>0</v>
      </c>
      <c r="H58" s="254" t="s">
        <v>185</v>
      </c>
      <c r="I58" s="255"/>
      <c r="J58" s="256"/>
    </row>
    <row r="59" spans="1:10" ht="14.5" customHeight="1" x14ac:dyDescent="0.35">
      <c r="A59" s="4"/>
      <c r="F59" s="3"/>
      <c r="H59" s="28" t="s">
        <v>124</v>
      </c>
      <c r="I59" s="257" t="s">
        <v>188</v>
      </c>
      <c r="J59" s="3"/>
    </row>
    <row r="60" spans="1:10" ht="14.5" customHeight="1" x14ac:dyDescent="0.35">
      <c r="A60" s="153" t="s">
        <v>107</v>
      </c>
      <c r="B60" s="154"/>
      <c r="C60" s="154"/>
      <c r="D60" s="154"/>
      <c r="E60" s="154"/>
      <c r="F60" s="155"/>
      <c r="H60" s="28"/>
      <c r="I60" s="257"/>
      <c r="J60" s="3"/>
    </row>
    <row r="61" spans="1:10" ht="14.5" customHeight="1" x14ac:dyDescent="0.35">
      <c r="A61" s="176" t="s">
        <v>99</v>
      </c>
      <c r="B61" s="176"/>
      <c r="C61" s="117" t="s">
        <v>33</v>
      </c>
      <c r="D61" s="170" t="s">
        <v>113</v>
      </c>
      <c r="E61" s="170"/>
      <c r="F61" s="171"/>
      <c r="H61" s="28" t="s">
        <v>124</v>
      </c>
      <c r="I61" s="135" t="s">
        <v>189</v>
      </c>
      <c r="J61" s="3"/>
    </row>
    <row r="62" spans="1:10" x14ac:dyDescent="0.35">
      <c r="A62" s="177" t="s">
        <v>30</v>
      </c>
      <c r="B62" s="178"/>
      <c r="C62" s="56" t="str">
        <f>IF(F58&gt;0, _xlfn.IFS(Data!H59&lt;Data!B59,F58/Data!B60, Data!H59&lt;Data!C59,F58/Data!C60,Data!H59&lt;Data!D59,F58/Data!D60,Data!H59&gt;Data!G59, "Past Deadline"), "N/A")</f>
        <v>N/A</v>
      </c>
      <c r="D62" s="170"/>
      <c r="E62" s="170"/>
      <c r="F62" s="171"/>
      <c r="H62" s="28"/>
      <c r="I62" s="135"/>
      <c r="J62" s="3"/>
    </row>
    <row r="63" spans="1:10" x14ac:dyDescent="0.35">
      <c r="A63" s="177" t="s">
        <v>31</v>
      </c>
      <c r="B63" s="178"/>
      <c r="C63" s="56" t="str">
        <f>IF(F58&gt;0,_xlfn.IFS(Data!H59&lt;Data!B61,F58/Data!B62, Data!H59&lt;Data!C61,F58/Data!C62,Data!H59&lt;Data!D61,F58/Data!D62, Data!H59&lt;Data!E61, F58/Data!E62,Data!H59&lt;Data!F61, F58/Data!F62, Data!H59&lt;Data!G61, F58/Data!G62, Data!H59&gt;Data!G59, "Past Deadline"), "N/A")</f>
        <v>N/A</v>
      </c>
      <c r="D63" s="166" t="s">
        <v>114</v>
      </c>
      <c r="E63" s="166"/>
      <c r="F63" s="167"/>
      <c r="H63" s="28" t="s">
        <v>124</v>
      </c>
      <c r="I63" s="257" t="s">
        <v>190</v>
      </c>
      <c r="J63" s="3"/>
    </row>
    <row r="64" spans="1:10" ht="15" thickBot="1" x14ac:dyDescent="0.4">
      <c r="A64" s="164" t="s">
        <v>32</v>
      </c>
      <c r="B64" s="165"/>
      <c r="C64" s="80" t="str">
        <f>IF(F58&gt;0,_xlfn.IFS(Data!H59&lt;Data!B63,F58/Data!B64, Data!H59&lt;Data!C63,F58/Data!C64,Data!H59&lt;Data!D63,F58/Data!D64, Data!H59&lt;Data!E63, F58/Data!E64,Data!H59&lt; Data!F63, F58/Data!F64, Data!H59&lt;Data!G63, F58/Data!G64, Data!H59&lt;Data!H59, F58/Data!H59, Data!H59&lt;Data!H59, F58/Data!H59,Data!H59&lt;Data!H59, F58/Data!H59, Data!H59&lt;Data!H59, F58/Data!H59, Data!H59&lt;Data!H63, F58/Data!H64, Data!H59&lt;Data!I63, F58/Data!I64, Data!H59&lt;Data!J63, F58/Data!J64, Data!H59&gt;Data!G59, "Past Deadline"), "N/A")</f>
        <v>N/A</v>
      </c>
      <c r="D64" s="168" t="s">
        <v>115</v>
      </c>
      <c r="E64" s="168"/>
      <c r="F64" s="169"/>
      <c r="H64" s="113"/>
      <c r="I64" s="258"/>
      <c r="J64" s="2"/>
    </row>
  </sheetData>
  <sheetProtection algorithmName="SHA-512" hashValue="K14tvlGLheb3SCk7L3/5S9T33VFwO75Fw8Q9bfszpWkGPCwzXF69X0JKgD8BUQHydwkq6IYOQmg1fTVjn3Pc+g==" saltValue="lU6TmWplyQQMNifIpNFI3Q==" spinCount="100000" sheet="1" selectLockedCells="1"/>
  <protectedRanges>
    <protectedRange sqref="E5" name="Tuition Classification"/>
    <protectedRange sqref="C7:C10" name="Tuition and Fees"/>
    <protectedRange sqref="B15:C16" name="Dorm MealPlan"/>
    <protectedRange sqref="D21:E25" name="First Semester and Parking"/>
    <protectedRange sqref="D22:E25 A26:F27 F21" name="Other Expenses"/>
    <protectedRange sqref="C33:D34 A35:E36" name="Scholarships"/>
    <protectedRange sqref="E40:E42" name="Loans"/>
    <protectedRange sqref="E46:E48 A48" name="Grants"/>
    <protectedRange sqref="A52:E53" name="FamilyContr"/>
    <protectedRange sqref="B2 F2" name="Name_ID"/>
  </protectedRanges>
  <mergeCells count="103">
    <mergeCell ref="H1:J1"/>
    <mergeCell ref="H2:J2"/>
    <mergeCell ref="A49:D49"/>
    <mergeCell ref="I55:J56"/>
    <mergeCell ref="H58:J58"/>
    <mergeCell ref="I59:I60"/>
    <mergeCell ref="I63:I64"/>
    <mergeCell ref="I47:J47"/>
    <mergeCell ref="I48:J48"/>
    <mergeCell ref="I49:J49"/>
    <mergeCell ref="H50:J52"/>
    <mergeCell ref="H54:J54"/>
    <mergeCell ref="H4:J4"/>
    <mergeCell ref="I5:J5"/>
    <mergeCell ref="I6:J6"/>
    <mergeCell ref="I7:J7"/>
    <mergeCell ref="I11:J11"/>
    <mergeCell ref="I12:J12"/>
    <mergeCell ref="H15:J15"/>
    <mergeCell ref="I16:J16"/>
    <mergeCell ref="I17:J18"/>
    <mergeCell ref="H20:J20"/>
    <mergeCell ref="I21:J21"/>
    <mergeCell ref="I26:J26"/>
    <mergeCell ref="I22:J23"/>
    <mergeCell ref="I24:J25"/>
    <mergeCell ref="H27:J29"/>
    <mergeCell ref="H31:J31"/>
    <mergeCell ref="I32:J32"/>
    <mergeCell ref="I33:J33"/>
    <mergeCell ref="I34:J34"/>
    <mergeCell ref="H35:J37"/>
    <mergeCell ref="H39:J39"/>
    <mergeCell ref="I40:J41"/>
    <mergeCell ref="H42:J44"/>
    <mergeCell ref="H46:J46"/>
    <mergeCell ref="A35:D35"/>
    <mergeCell ref="A36:D36"/>
    <mergeCell ref="A37:E37"/>
    <mergeCell ref="A39:D39"/>
    <mergeCell ref="A40:D40"/>
    <mergeCell ref="A43:D43"/>
    <mergeCell ref="A41:D41"/>
    <mergeCell ref="A53:D53"/>
    <mergeCell ref="A52:D52"/>
    <mergeCell ref="A48:D48"/>
    <mergeCell ref="A47:D47"/>
    <mergeCell ref="A45:D45"/>
    <mergeCell ref="A42:D42"/>
    <mergeCell ref="A46:D46"/>
    <mergeCell ref="A1:F1"/>
    <mergeCell ref="B2:C2"/>
    <mergeCell ref="A4:F4"/>
    <mergeCell ref="A7:B7"/>
    <mergeCell ref="A9:B9"/>
    <mergeCell ref="E5:F5"/>
    <mergeCell ref="A5:C5"/>
    <mergeCell ref="A6:B6"/>
    <mergeCell ref="A51:D51"/>
    <mergeCell ref="A19:F19"/>
    <mergeCell ref="A20:E20"/>
    <mergeCell ref="A22:C22"/>
    <mergeCell ref="A25:C25"/>
    <mergeCell ref="D22:E22"/>
    <mergeCell ref="D25:E25"/>
    <mergeCell ref="A21:E21"/>
    <mergeCell ref="A17:C17"/>
    <mergeCell ref="A64:B64"/>
    <mergeCell ref="D63:F63"/>
    <mergeCell ref="D64:F64"/>
    <mergeCell ref="D61:F62"/>
    <mergeCell ref="A55:E55"/>
    <mergeCell ref="A60:F60"/>
    <mergeCell ref="A57:F57"/>
    <mergeCell ref="A58:E58"/>
    <mergeCell ref="A54:E54"/>
    <mergeCell ref="A61:B61"/>
    <mergeCell ref="A62:B62"/>
    <mergeCell ref="A63:B63"/>
    <mergeCell ref="A8:B8"/>
    <mergeCell ref="H13:J13"/>
    <mergeCell ref="I8:J10"/>
    <mergeCell ref="I61:I62"/>
    <mergeCell ref="A13:F13"/>
    <mergeCell ref="B15:C15"/>
    <mergeCell ref="B16:C16"/>
    <mergeCell ref="A10:B10"/>
    <mergeCell ref="A11:D11"/>
    <mergeCell ref="A14:C14"/>
    <mergeCell ref="A33:B33"/>
    <mergeCell ref="C33:D33"/>
    <mergeCell ref="A34:B34"/>
    <mergeCell ref="C34:D34"/>
    <mergeCell ref="A23:C23"/>
    <mergeCell ref="D23:E23"/>
    <mergeCell ref="A31:F31"/>
    <mergeCell ref="A24:C24"/>
    <mergeCell ref="D24:E24"/>
    <mergeCell ref="A27:E27"/>
    <mergeCell ref="A28:E28"/>
    <mergeCell ref="A29:E29"/>
    <mergeCell ref="A32:D32"/>
    <mergeCell ref="A26:E26"/>
  </mergeCells>
  <conditionalFormatting sqref="A58">
    <cfRule type="containsText" dxfId="5" priority="5" operator="containsText" text="I will still owe">
      <formula>NOT(ISERROR(SEARCH("I will still owe",A58)))</formula>
    </cfRule>
    <cfRule type="containsText" dxfId="4" priority="20" operator="containsText" text="Total amount due after FPA">
      <formula>NOT(ISERROR(SEARCH("Total amount due after FPA",A58)))</formula>
    </cfRule>
    <cfRule type="containsText" dxfId="3" priority="22" operator="containsText" text="Approximate Refund">
      <formula>NOT(ISERROR(SEARCH("Approximate Refund",A58)))</formula>
    </cfRule>
  </conditionalFormatting>
  <conditionalFormatting sqref="F58">
    <cfRule type="cellIs" dxfId="2" priority="2" operator="equal">
      <formula>0</formula>
    </cfRule>
    <cfRule type="cellIs" dxfId="1" priority="19" operator="greaterThan">
      <formula>0</formula>
    </cfRule>
    <cfRule type="cellIs" dxfId="0" priority="21" operator="lessThan">
      <formula>0</formula>
    </cfRule>
  </conditionalFormatting>
  <dataValidations count="3">
    <dataValidation type="list" allowBlank="1" showInputMessage="1" showErrorMessage="1" sqref="C10" xr:uid="{00000000-0002-0000-0000-000000000000}">
      <formula1>"Yes,No"</formula1>
    </dataValidation>
    <dataValidation type="list" allowBlank="1" showInputMessage="1" showErrorMessage="1" sqref="D24:E24 D22:D23" xr:uid="{AE600DF0-AC00-4E2F-B533-88568A7A5CBE}">
      <formula1>"Yes, No"</formula1>
    </dataValidation>
    <dataValidation type="list" allowBlank="1" showInputMessage="1" showErrorMessage="1" sqref="B16:C16" xr:uid="{C32565AC-25E8-4158-BBEF-64467600DADE}">
      <formula1>"Meal Plan A, Meal Plan B, None"</formula1>
    </dataValidation>
  </dataValidations>
  <pageMargins left="0.25" right="0.25" top="0.25" bottom="0.25" header="0.3" footer="0.3"/>
  <pageSetup scale="81" fitToWidth="0" orientation="portrait" r:id="rId1"/>
  <ignoredErrors>
    <ignoredError sqref="F24:F25 F22:F23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657241CD-E12E-4E85-A9E0-546F50EF86EE}">
          <x14:formula1>
            <xm:f>Data!$A$15:$A$40</xm:f>
          </x14:formula1>
          <xm:sqref>B15:C15</xm:sqref>
        </x14:dataValidation>
        <x14:dataValidation type="list" allowBlank="1" showInputMessage="1" showErrorMessage="1" xr:uid="{E39121F5-AE8F-4953-B77B-6789DBC57763}">
          <x14:formula1>
            <xm:f>Data!$H$4:$H$9</xm:f>
          </x14:formula1>
          <xm:sqref>C33:D33</xm:sqref>
        </x14:dataValidation>
        <x14:dataValidation type="list" allowBlank="1" showInputMessage="1" showErrorMessage="1" xr:uid="{90498A5A-918A-4ABC-BC55-E01D5AC9F87B}">
          <x14:formula1>
            <xm:f>Data!$A$5:$A$8</xm:f>
          </x14:formula1>
          <xm:sqref>E5:F5</xm:sqref>
        </x14:dataValidation>
        <x14:dataValidation type="list" allowBlank="1" showInputMessage="1" showErrorMessage="1" xr:uid="{09DA3ED2-2843-4BF0-ADAF-90B4864CA6ED}">
          <x14:formula1>
            <xm:f>Data!$A$72:$A$78</xm:f>
          </x14:formula1>
          <xm:sqref>D25:E25</xm:sqref>
        </x14:dataValidation>
        <x14:dataValidation type="list" allowBlank="1" showInputMessage="1" showErrorMessage="1" xr:uid="{BE66FE6C-2131-4B9D-89DA-1174E9ADAC3B}">
          <x14:formula1>
            <xm:f>Data!$H$12:$H$15</xm:f>
          </x14:formula1>
          <xm:sqref>C34:D34</xm:sqref>
        </x14:dataValidation>
        <x14:dataValidation type="list" allowBlank="1" showInputMessage="1" showErrorMessage="1" xr:uid="{40C624F2-5409-4DAA-B506-EBA740AC6602}">
          <x14:formula1>
            <xm:f>Data!$K$3:$K$4</xm:f>
          </x14:formula1>
          <xm:sqref>A8:B8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O82"/>
  <sheetViews>
    <sheetView topLeftCell="A58" zoomScale="90" zoomScaleNormal="90" workbookViewId="0">
      <selection activeCell="D71" sqref="D71"/>
    </sheetView>
  </sheetViews>
  <sheetFormatPr defaultRowHeight="14.5" x14ac:dyDescent="0.35"/>
  <cols>
    <col min="1" max="1" width="35.1796875" customWidth="1"/>
    <col min="2" max="2" width="17.26953125" customWidth="1"/>
    <col min="3" max="3" width="21.7265625" bestFit="1" customWidth="1"/>
    <col min="4" max="4" width="14.453125" customWidth="1"/>
    <col min="5" max="5" width="12.7265625" bestFit="1" customWidth="1"/>
    <col min="6" max="6" width="12.81640625" customWidth="1"/>
    <col min="7" max="7" width="14.1796875" bestFit="1" customWidth="1"/>
    <col min="8" max="8" width="23.81640625" customWidth="1"/>
    <col min="9" max="9" width="12.453125" customWidth="1"/>
    <col min="10" max="10" width="12.81640625" customWidth="1"/>
    <col min="11" max="11" width="12.54296875" customWidth="1"/>
    <col min="12" max="13" width="16.54296875" customWidth="1"/>
    <col min="14" max="14" width="10.7265625" bestFit="1" customWidth="1"/>
    <col min="15" max="15" width="14.54296875" customWidth="1"/>
    <col min="16" max="16" width="9.7265625" bestFit="1" customWidth="1"/>
    <col min="17" max="17" width="10.7265625" bestFit="1" customWidth="1"/>
  </cols>
  <sheetData>
    <row r="1" spans="1:12" x14ac:dyDescent="0.35">
      <c r="A1" s="1" t="s">
        <v>34</v>
      </c>
    </row>
    <row r="2" spans="1:12" ht="15" thickBot="1" x14ac:dyDescent="0.4"/>
    <row r="3" spans="1:12" x14ac:dyDescent="0.35">
      <c r="A3" s="254" t="s">
        <v>2</v>
      </c>
      <c r="B3" s="256"/>
      <c r="C3" s="1"/>
      <c r="D3" s="254" t="s">
        <v>35</v>
      </c>
      <c r="E3" s="255"/>
      <c r="F3" s="256"/>
      <c r="H3" s="16" t="s">
        <v>131</v>
      </c>
      <c r="I3" s="96" t="s">
        <v>172</v>
      </c>
      <c r="K3" t="s">
        <v>192</v>
      </c>
      <c r="L3" s="121">
        <v>282.39999999999998</v>
      </c>
    </row>
    <row r="4" spans="1:12" x14ac:dyDescent="0.35">
      <c r="A4" s="4"/>
      <c r="B4" s="15" t="s">
        <v>36</v>
      </c>
      <c r="D4" s="4" t="s">
        <v>37</v>
      </c>
      <c r="E4" t="s">
        <v>38</v>
      </c>
      <c r="F4" s="3" t="s">
        <v>39</v>
      </c>
      <c r="H4" s="4" t="s">
        <v>133</v>
      </c>
      <c r="I4" s="3">
        <v>6000</v>
      </c>
      <c r="K4" t="s">
        <v>193</v>
      </c>
      <c r="L4" s="121">
        <v>360.7</v>
      </c>
    </row>
    <row r="5" spans="1:12" x14ac:dyDescent="0.35">
      <c r="A5" s="4" t="s">
        <v>40</v>
      </c>
      <c r="B5" s="15">
        <v>422.85</v>
      </c>
      <c r="C5" s="121"/>
      <c r="D5" s="4" t="s">
        <v>26</v>
      </c>
      <c r="E5" t="s">
        <v>9</v>
      </c>
      <c r="F5" s="3"/>
      <c r="H5" s="4" t="s">
        <v>134</v>
      </c>
      <c r="I5" s="3">
        <v>3500</v>
      </c>
    </row>
    <row r="6" spans="1:12" x14ac:dyDescent="0.35">
      <c r="A6" s="4" t="s">
        <v>41</v>
      </c>
      <c r="B6" s="15">
        <v>828.3</v>
      </c>
      <c r="C6" s="121"/>
      <c r="D6" s="4" t="s">
        <v>9</v>
      </c>
      <c r="F6" s="3"/>
      <c r="H6" s="4" t="s">
        <v>135</v>
      </c>
      <c r="I6" s="3">
        <v>1250</v>
      </c>
    </row>
    <row r="7" spans="1:12" x14ac:dyDescent="0.35">
      <c r="A7" s="4" t="s">
        <v>42</v>
      </c>
      <c r="B7" s="15">
        <v>481.3</v>
      </c>
      <c r="C7" s="121"/>
      <c r="D7" s="4"/>
      <c r="F7" s="3"/>
      <c r="H7" s="4" t="s">
        <v>136</v>
      </c>
      <c r="I7" s="3">
        <v>2000</v>
      </c>
    </row>
    <row r="8" spans="1:12" ht="15" thickBot="1" x14ac:dyDescent="0.4">
      <c r="A8" s="4" t="s">
        <v>141</v>
      </c>
      <c r="B8" s="15">
        <v>481.3</v>
      </c>
      <c r="C8" s="121"/>
      <c r="D8" s="5" t="e">
        <f>IF('[1]Fall to Spring-FPA Projected'!C8:E8="In-State","In_State",IF('[1]Fall to Spring-FPA Projected'!C8:E8="","Blank","Out_of_State"))</f>
        <v>#REF!</v>
      </c>
      <c r="E8" s="6"/>
      <c r="F8" s="2"/>
      <c r="H8" s="4" t="s">
        <v>137</v>
      </c>
      <c r="I8" s="3">
        <v>1000</v>
      </c>
    </row>
    <row r="9" spans="1:12" ht="15" thickBot="1" x14ac:dyDescent="0.4">
      <c r="A9" s="4" t="s">
        <v>7</v>
      </c>
      <c r="B9" s="15">
        <v>443.79</v>
      </c>
      <c r="C9" s="121"/>
      <c r="H9" s="5" t="s">
        <v>89</v>
      </c>
      <c r="I9" s="2">
        <v>0</v>
      </c>
    </row>
    <row r="10" spans="1:12" ht="15" thickBot="1" x14ac:dyDescent="0.4">
      <c r="A10" s="4" t="s">
        <v>35</v>
      </c>
      <c r="B10" s="15">
        <v>116</v>
      </c>
    </row>
    <row r="11" spans="1:12" ht="15" thickBot="1" x14ac:dyDescent="0.4">
      <c r="A11" s="5" t="s">
        <v>4</v>
      </c>
      <c r="B11" s="122">
        <v>40</v>
      </c>
      <c r="H11" s="16" t="s">
        <v>173</v>
      </c>
      <c r="I11" s="96" t="s">
        <v>172</v>
      </c>
    </row>
    <row r="12" spans="1:12" ht="15" thickBot="1" x14ac:dyDescent="0.4">
      <c r="H12" s="4" t="s">
        <v>139</v>
      </c>
      <c r="I12" s="3">
        <v>1000</v>
      </c>
    </row>
    <row r="13" spans="1:12" ht="15" thickBot="1" x14ac:dyDescent="0.4">
      <c r="A13" s="254" t="s">
        <v>43</v>
      </c>
      <c r="B13" s="255"/>
      <c r="C13" s="255"/>
      <c r="D13" s="7"/>
      <c r="H13" s="4" t="s">
        <v>140</v>
      </c>
      <c r="I13" s="3">
        <v>1000</v>
      </c>
    </row>
    <row r="14" spans="1:12" x14ac:dyDescent="0.35">
      <c r="A14" s="4"/>
      <c r="B14" s="1" t="s">
        <v>44</v>
      </c>
      <c r="C14" s="1" t="s">
        <v>45</v>
      </c>
      <c r="D14" s="3"/>
      <c r="H14" s="26" t="s">
        <v>89</v>
      </c>
      <c r="I14" s="7">
        <v>0</v>
      </c>
    </row>
    <row r="15" spans="1:12" ht="15" thickBot="1" x14ac:dyDescent="0.4">
      <c r="A15" s="4" t="s">
        <v>100</v>
      </c>
      <c r="B15" s="125">
        <v>12295</v>
      </c>
      <c r="C15" s="125">
        <v>6147.5</v>
      </c>
      <c r="D15" s="3"/>
      <c r="E15" t="s">
        <v>46</v>
      </c>
      <c r="H15" s="5" t="s">
        <v>191</v>
      </c>
      <c r="I15" s="2">
        <v>2000</v>
      </c>
    </row>
    <row r="16" spans="1:12" ht="15" customHeight="1" x14ac:dyDescent="0.35">
      <c r="A16" s="4" t="s">
        <v>47</v>
      </c>
      <c r="B16" s="125">
        <v>7550</v>
      </c>
      <c r="C16" s="125">
        <v>3775</v>
      </c>
      <c r="D16" s="3"/>
      <c r="E16" t="s">
        <v>6</v>
      </c>
    </row>
    <row r="17" spans="1:15" ht="15" customHeight="1" thickBot="1" x14ac:dyDescent="0.4">
      <c r="A17" s="4" t="s">
        <v>48</v>
      </c>
      <c r="B17" s="125">
        <v>9410</v>
      </c>
      <c r="C17" s="125">
        <v>4705</v>
      </c>
      <c r="D17" s="3"/>
    </row>
    <row r="18" spans="1:15" ht="15" customHeight="1" x14ac:dyDescent="0.35">
      <c r="A18" s="4" t="s">
        <v>49</v>
      </c>
      <c r="B18" s="125">
        <v>10480</v>
      </c>
      <c r="C18" s="125">
        <v>5240</v>
      </c>
      <c r="D18" s="3"/>
      <c r="H18" s="285" t="s">
        <v>160</v>
      </c>
      <c r="I18" s="286"/>
      <c r="J18" s="286"/>
      <c r="K18" s="286"/>
      <c r="L18" s="286"/>
      <c r="M18" s="286"/>
      <c r="N18" s="286"/>
      <c r="O18" s="7"/>
    </row>
    <row r="19" spans="1:15" ht="29" x14ac:dyDescent="0.35">
      <c r="A19" s="4" t="s">
        <v>50</v>
      </c>
      <c r="B19" s="125">
        <v>6720</v>
      </c>
      <c r="C19" s="125">
        <v>3360</v>
      </c>
      <c r="D19" s="3"/>
      <c r="H19" s="4"/>
      <c r="K19" s="97" t="s">
        <v>159</v>
      </c>
      <c r="L19" s="97" t="s">
        <v>159</v>
      </c>
      <c r="M19" s="97" t="s">
        <v>159</v>
      </c>
      <c r="N19" s="97" t="s">
        <v>165</v>
      </c>
      <c r="O19" s="98" t="s">
        <v>175</v>
      </c>
    </row>
    <row r="20" spans="1:15" ht="18.5" x14ac:dyDescent="0.45">
      <c r="A20" s="4" t="s">
        <v>51</v>
      </c>
      <c r="B20" s="125">
        <v>6210</v>
      </c>
      <c r="C20" s="125">
        <v>3105</v>
      </c>
      <c r="D20" s="3"/>
      <c r="H20" s="4"/>
      <c r="I20" s="99"/>
      <c r="K20" s="100">
        <v>12</v>
      </c>
      <c r="L20" s="100">
        <v>9</v>
      </c>
      <c r="M20" s="100">
        <v>6</v>
      </c>
      <c r="N20" s="100">
        <v>5</v>
      </c>
      <c r="O20" s="101">
        <v>0</v>
      </c>
    </row>
    <row r="21" spans="1:15" ht="18.5" x14ac:dyDescent="0.45">
      <c r="A21" s="4" t="s">
        <v>52</v>
      </c>
      <c r="B21" s="125">
        <v>7140</v>
      </c>
      <c r="C21" s="125">
        <v>3570</v>
      </c>
      <c r="D21" s="3"/>
      <c r="H21" s="102"/>
      <c r="I21" s="99"/>
      <c r="K21" s="1" t="s">
        <v>161</v>
      </c>
      <c r="L21" s="103" t="s">
        <v>168</v>
      </c>
      <c r="M21" s="1" t="s">
        <v>169</v>
      </c>
      <c r="N21" s="1" t="s">
        <v>170</v>
      </c>
      <c r="O21" s="104" t="s">
        <v>174</v>
      </c>
    </row>
    <row r="22" spans="1:15" x14ac:dyDescent="0.35">
      <c r="A22" s="4" t="s">
        <v>53</v>
      </c>
      <c r="B22" s="125">
        <v>9410</v>
      </c>
      <c r="C22" s="125">
        <v>4705</v>
      </c>
      <c r="D22" s="3"/>
      <c r="H22" s="105" t="s">
        <v>159</v>
      </c>
      <c r="I22" s="100">
        <v>2845</v>
      </c>
      <c r="J22" s="1" t="s">
        <v>161</v>
      </c>
      <c r="K22">
        <v>1</v>
      </c>
      <c r="L22">
        <v>0.75</v>
      </c>
      <c r="M22">
        <v>0.5</v>
      </c>
      <c r="N22">
        <v>0.25</v>
      </c>
      <c r="O22" s="3">
        <v>0</v>
      </c>
    </row>
    <row r="23" spans="1:15" x14ac:dyDescent="0.35">
      <c r="A23" s="4" t="s">
        <v>54</v>
      </c>
      <c r="B23" s="125">
        <v>10500</v>
      </c>
      <c r="C23" s="125">
        <v>5250</v>
      </c>
      <c r="D23" s="3"/>
      <c r="H23" s="105" t="s">
        <v>159</v>
      </c>
      <c r="I23" s="100">
        <v>1445</v>
      </c>
      <c r="J23" s="1" t="s">
        <v>162</v>
      </c>
      <c r="K23">
        <v>1</v>
      </c>
      <c r="L23">
        <v>0.75</v>
      </c>
      <c r="M23">
        <v>0.5</v>
      </c>
      <c r="N23">
        <v>0</v>
      </c>
      <c r="O23" s="3">
        <v>0</v>
      </c>
    </row>
    <row r="24" spans="1:15" x14ac:dyDescent="0.35">
      <c r="A24" s="4" t="s">
        <v>55</v>
      </c>
      <c r="B24" s="125">
        <v>6630</v>
      </c>
      <c r="C24" s="125">
        <v>3315</v>
      </c>
      <c r="D24" s="3"/>
      <c r="H24" s="105" t="s">
        <v>159</v>
      </c>
      <c r="I24" s="100">
        <v>945</v>
      </c>
      <c r="J24" s="1" t="s">
        <v>163</v>
      </c>
      <c r="K24">
        <v>1</v>
      </c>
      <c r="L24">
        <v>0.75</v>
      </c>
      <c r="M24">
        <v>0</v>
      </c>
      <c r="N24">
        <v>0</v>
      </c>
      <c r="O24" s="3">
        <v>0</v>
      </c>
    </row>
    <row r="25" spans="1:15" x14ac:dyDescent="0.35">
      <c r="A25" s="4" t="s">
        <v>94</v>
      </c>
      <c r="B25" s="125">
        <v>6900</v>
      </c>
      <c r="C25" s="125">
        <v>3450</v>
      </c>
      <c r="D25" s="3"/>
      <c r="H25" s="105" t="s">
        <v>165</v>
      </c>
      <c r="I25" s="100">
        <v>944</v>
      </c>
      <c r="J25" s="1" t="s">
        <v>164</v>
      </c>
      <c r="K25">
        <v>1</v>
      </c>
      <c r="L25">
        <v>0</v>
      </c>
      <c r="M25">
        <v>0</v>
      </c>
      <c r="N25">
        <v>0</v>
      </c>
      <c r="O25" s="3">
        <v>0</v>
      </c>
    </row>
    <row r="26" spans="1:15" x14ac:dyDescent="0.35">
      <c r="A26" s="4" t="s">
        <v>95</v>
      </c>
      <c r="B26" s="125">
        <v>7775</v>
      </c>
      <c r="C26" s="125">
        <v>3887.5</v>
      </c>
      <c r="D26" s="3"/>
      <c r="H26" s="4"/>
      <c r="O26" s="3"/>
    </row>
    <row r="27" spans="1:15" x14ac:dyDescent="0.35">
      <c r="A27" s="4" t="s">
        <v>92</v>
      </c>
      <c r="B27" s="125">
        <v>7500</v>
      </c>
      <c r="C27" s="125">
        <v>3750</v>
      </c>
      <c r="D27" s="3"/>
      <c r="H27" s="28" t="s">
        <v>167</v>
      </c>
      <c r="I27" s="29" t="s">
        <v>166</v>
      </c>
      <c r="J27" s="29" t="s">
        <v>3</v>
      </c>
      <c r="K27" s="29" t="s">
        <v>171</v>
      </c>
      <c r="L27" s="106" t="s">
        <v>176</v>
      </c>
      <c r="O27" s="3"/>
    </row>
    <row r="28" spans="1:15" ht="15" thickBot="1" x14ac:dyDescent="0.4">
      <c r="A28" s="4" t="s">
        <v>93</v>
      </c>
      <c r="B28" s="125">
        <v>8500</v>
      </c>
      <c r="C28" s="125">
        <v>4250</v>
      </c>
      <c r="D28" s="3"/>
      <c r="H28" s="107" t="str">
        <f>_xlfn.IFS(I28&gt;=I22,J22,I28&gt;=I23,J23,I28&gt;=I24,J24,I28&lt;=I25,J25)</f>
        <v>No 3/4</v>
      </c>
      <c r="I28" s="108">
        <f>'Budget Worksheet'!E46</f>
        <v>0</v>
      </c>
      <c r="J28" s="109">
        <f>SUM('Budget Worksheet'!C7:C9)</f>
        <v>0</v>
      </c>
      <c r="K28" s="6" t="str">
        <f>_xlfn.IFS(J28=0,"Not enrolled",J28&gt;=K20,K21,J28&gt;=L20,L21,J28&gt;=M20,M21,J28&lt;=N20,N21)</f>
        <v>Not enrolled</v>
      </c>
      <c r="L28" s="110">
        <f>INDEX(K22:O25,MATCH(H28,J22:J25,0),MATCH(K28,K21:O21,0))</f>
        <v>0</v>
      </c>
      <c r="M28" s="6"/>
      <c r="N28" s="6"/>
      <c r="O28" s="2"/>
    </row>
    <row r="29" spans="1:15" x14ac:dyDescent="0.35">
      <c r="A29" s="4" t="s">
        <v>56</v>
      </c>
      <c r="B29" s="125">
        <v>7750</v>
      </c>
      <c r="C29" s="125">
        <v>3875</v>
      </c>
      <c r="D29" s="3"/>
    </row>
    <row r="30" spans="1:15" x14ac:dyDescent="0.35">
      <c r="A30" s="4" t="s">
        <v>57</v>
      </c>
      <c r="B30" s="125">
        <v>10450</v>
      </c>
      <c r="C30" s="125">
        <v>5225</v>
      </c>
      <c r="D30" s="3"/>
    </row>
    <row r="31" spans="1:15" x14ac:dyDescent="0.35">
      <c r="A31" s="4" t="s">
        <v>58</v>
      </c>
      <c r="B31" s="125">
        <v>6210</v>
      </c>
      <c r="C31" s="125">
        <v>3105</v>
      </c>
      <c r="D31" s="3"/>
    </row>
    <row r="32" spans="1:15" x14ac:dyDescent="0.35">
      <c r="A32" s="4" t="s">
        <v>59</v>
      </c>
      <c r="B32" s="125">
        <v>7775</v>
      </c>
      <c r="C32" s="125">
        <v>3887.5</v>
      </c>
      <c r="D32" s="3"/>
    </row>
    <row r="33" spans="1:4" x14ac:dyDescent="0.35">
      <c r="A33" s="4" t="s">
        <v>60</v>
      </c>
      <c r="B33" s="125">
        <v>4560</v>
      </c>
      <c r="C33" s="125">
        <v>2280</v>
      </c>
      <c r="D33" s="3"/>
    </row>
    <row r="34" spans="1:4" x14ac:dyDescent="0.35">
      <c r="A34" s="4" t="s">
        <v>61</v>
      </c>
      <c r="B34" s="125">
        <v>6750</v>
      </c>
      <c r="C34" s="125">
        <v>3375</v>
      </c>
      <c r="D34" s="3"/>
    </row>
    <row r="35" spans="1:4" x14ac:dyDescent="0.35">
      <c r="A35" s="4" t="s">
        <v>62</v>
      </c>
      <c r="B35" s="125">
        <v>4560</v>
      </c>
      <c r="C35" s="125">
        <v>2280</v>
      </c>
      <c r="D35" s="3"/>
    </row>
    <row r="36" spans="1:4" x14ac:dyDescent="0.35">
      <c r="A36" s="4" t="s">
        <v>63</v>
      </c>
      <c r="B36" s="125">
        <v>6750</v>
      </c>
      <c r="C36" s="125">
        <v>3375</v>
      </c>
      <c r="D36" s="3"/>
    </row>
    <row r="37" spans="1:4" x14ac:dyDescent="0.35">
      <c r="A37" s="4" t="s">
        <v>64</v>
      </c>
      <c r="B37" s="125">
        <v>6820</v>
      </c>
      <c r="C37" s="125">
        <v>3410</v>
      </c>
      <c r="D37" s="3"/>
    </row>
    <row r="38" spans="1:4" x14ac:dyDescent="0.35">
      <c r="A38" s="4" t="s">
        <v>65</v>
      </c>
      <c r="B38" s="125">
        <v>8160</v>
      </c>
      <c r="C38" s="125">
        <v>4080</v>
      </c>
      <c r="D38" s="3"/>
    </row>
    <row r="39" spans="1:4" ht="15" thickBot="1" x14ac:dyDescent="0.4">
      <c r="A39" s="5" t="s">
        <v>66</v>
      </c>
      <c r="B39" s="125">
        <v>6770</v>
      </c>
      <c r="C39" s="125">
        <v>3385</v>
      </c>
      <c r="D39" s="2"/>
    </row>
    <row r="40" spans="1:4" ht="15" thickBot="1" x14ac:dyDescent="0.4">
      <c r="A40" s="4" t="s">
        <v>198</v>
      </c>
      <c r="B40" s="125">
        <v>12295</v>
      </c>
      <c r="C40" s="125">
        <v>6147</v>
      </c>
    </row>
    <row r="41" spans="1:4" x14ac:dyDescent="0.35">
      <c r="A41" s="16" t="s">
        <v>67</v>
      </c>
      <c r="B41" s="17"/>
      <c r="C41" s="7"/>
    </row>
    <row r="42" spans="1:4" x14ac:dyDescent="0.35">
      <c r="A42" s="4" t="s">
        <v>13</v>
      </c>
      <c r="B42" s="18">
        <v>60</v>
      </c>
      <c r="C42" s="19">
        <v>30</v>
      </c>
    </row>
    <row r="43" spans="1:4" x14ac:dyDescent="0.35">
      <c r="A43" s="4" t="s">
        <v>68</v>
      </c>
      <c r="B43" s="18">
        <v>50</v>
      </c>
      <c r="C43" s="19"/>
    </row>
    <row r="44" spans="1:4" ht="15" thickBot="1" x14ac:dyDescent="0.4">
      <c r="A44" s="5" t="s">
        <v>69</v>
      </c>
      <c r="B44" s="20">
        <v>150</v>
      </c>
      <c r="C44" s="21"/>
    </row>
    <row r="45" spans="1:4" ht="15" thickBot="1" x14ac:dyDescent="0.4">
      <c r="B45" s="22"/>
      <c r="C45" s="22"/>
    </row>
    <row r="46" spans="1:4" x14ac:dyDescent="0.35">
      <c r="A46" s="16" t="s">
        <v>70</v>
      </c>
      <c r="B46" s="23"/>
      <c r="C46" s="24"/>
    </row>
    <row r="47" spans="1:4" x14ac:dyDescent="0.35">
      <c r="A47" s="25"/>
      <c r="B47" s="18"/>
      <c r="C47" s="19"/>
    </row>
    <row r="48" spans="1:4" x14ac:dyDescent="0.35">
      <c r="A48" s="4" t="s">
        <v>96</v>
      </c>
      <c r="B48" s="125">
        <v>5550</v>
      </c>
      <c r="C48" s="125">
        <v>2775</v>
      </c>
    </row>
    <row r="49" spans="1:12" x14ac:dyDescent="0.35">
      <c r="A49" s="4" t="s">
        <v>97</v>
      </c>
      <c r="B49" s="125">
        <v>5110</v>
      </c>
      <c r="C49" s="125">
        <v>2555</v>
      </c>
    </row>
    <row r="50" spans="1:12" ht="15" thickBot="1" x14ac:dyDescent="0.4">
      <c r="A50" s="5" t="s">
        <v>89</v>
      </c>
      <c r="B50" s="6">
        <v>0</v>
      </c>
      <c r="C50" s="2">
        <v>0</v>
      </c>
    </row>
    <row r="51" spans="1:12" ht="15" thickBot="1" x14ac:dyDescent="0.4"/>
    <row r="52" spans="1:12" x14ac:dyDescent="0.35">
      <c r="A52" s="26"/>
      <c r="B52" s="17"/>
      <c r="C52" s="17"/>
      <c r="D52" s="17"/>
      <c r="E52" s="17"/>
      <c r="G52" s="17"/>
    </row>
    <row r="53" spans="1:12" x14ac:dyDescent="0.35">
      <c r="A53" s="4" t="s">
        <v>71</v>
      </c>
      <c r="B53" t="s">
        <v>72</v>
      </c>
      <c r="C53" t="s">
        <v>73</v>
      </c>
      <c r="D53" t="s">
        <v>74</v>
      </c>
      <c r="G53" t="s">
        <v>75</v>
      </c>
    </row>
    <row r="54" spans="1:12" x14ac:dyDescent="0.35">
      <c r="A54" s="4" t="s">
        <v>30</v>
      </c>
      <c r="B54" s="27">
        <v>43605</v>
      </c>
      <c r="C54" s="27">
        <v>43632</v>
      </c>
      <c r="D54" s="27">
        <v>43662</v>
      </c>
      <c r="G54" s="27">
        <v>43631</v>
      </c>
    </row>
    <row r="55" spans="1:12" x14ac:dyDescent="0.35">
      <c r="A55" s="4" t="s">
        <v>76</v>
      </c>
      <c r="B55" s="27">
        <v>43605</v>
      </c>
      <c r="C55" s="27">
        <v>43618</v>
      </c>
      <c r="D55" s="27">
        <v>43632</v>
      </c>
      <c r="E55" s="27">
        <v>43648</v>
      </c>
      <c r="F55" s="27">
        <v>43662</v>
      </c>
      <c r="G55" s="27">
        <v>43631</v>
      </c>
    </row>
    <row r="56" spans="1:12" x14ac:dyDescent="0.35">
      <c r="A56" s="4"/>
    </row>
    <row r="57" spans="1:12" x14ac:dyDescent="0.35">
      <c r="A57" s="4"/>
    </row>
    <row r="58" spans="1:12" x14ac:dyDescent="0.35">
      <c r="A58" s="28"/>
      <c r="B58" s="29"/>
      <c r="C58" s="29"/>
      <c r="D58" s="29"/>
      <c r="E58" s="29"/>
      <c r="F58" s="29"/>
    </row>
    <row r="59" spans="1:12" x14ac:dyDescent="0.35">
      <c r="A59" s="33" t="s">
        <v>30</v>
      </c>
      <c r="B59" s="34">
        <v>45307</v>
      </c>
      <c r="C59" s="34">
        <v>45338</v>
      </c>
      <c r="D59" s="34">
        <v>45367</v>
      </c>
      <c r="E59" s="34">
        <v>45398</v>
      </c>
      <c r="F59" s="34">
        <v>45428</v>
      </c>
      <c r="G59" s="34">
        <v>45367</v>
      </c>
      <c r="H59" s="58">
        <f ca="1">TODAY()</f>
        <v>45264</v>
      </c>
    </row>
    <row r="60" spans="1:12" x14ac:dyDescent="0.35">
      <c r="A60" s="32" t="s">
        <v>78</v>
      </c>
      <c r="B60" s="126">
        <v>5</v>
      </c>
      <c r="C60" s="126">
        <v>4</v>
      </c>
      <c r="D60" s="126">
        <v>3</v>
      </c>
      <c r="E60" s="126">
        <v>2</v>
      </c>
      <c r="F60" s="126">
        <v>1</v>
      </c>
      <c r="G60" s="52" t="s">
        <v>77</v>
      </c>
      <c r="H60" s="59" t="s">
        <v>117</v>
      </c>
    </row>
    <row r="61" spans="1:12" x14ac:dyDescent="0.35">
      <c r="A61" s="36" t="s">
        <v>31</v>
      </c>
      <c r="B61" s="37">
        <v>45307</v>
      </c>
      <c r="C61" s="37">
        <v>45324</v>
      </c>
      <c r="D61" s="37">
        <v>52278</v>
      </c>
      <c r="E61" s="37">
        <v>45353</v>
      </c>
      <c r="F61" s="37">
        <v>45367</v>
      </c>
      <c r="G61" s="31">
        <v>45384</v>
      </c>
      <c r="H61" s="27">
        <v>45398</v>
      </c>
      <c r="I61" s="27">
        <v>45414</v>
      </c>
      <c r="J61" s="27">
        <v>45428</v>
      </c>
    </row>
    <row r="62" spans="1:12" x14ac:dyDescent="0.35">
      <c r="A62" s="30" t="s">
        <v>79</v>
      </c>
      <c r="B62" s="127">
        <v>10</v>
      </c>
      <c r="C62" s="127">
        <v>9</v>
      </c>
      <c r="D62" s="127">
        <v>8</v>
      </c>
      <c r="E62" s="127">
        <v>7</v>
      </c>
      <c r="F62" s="127">
        <v>6</v>
      </c>
      <c r="G62" s="35">
        <v>5</v>
      </c>
      <c r="H62" s="127">
        <v>4</v>
      </c>
      <c r="I62" s="61">
        <v>3</v>
      </c>
      <c r="J62" s="61">
        <v>2</v>
      </c>
    </row>
    <row r="63" spans="1:12" x14ac:dyDescent="0.35">
      <c r="A63" s="46" t="s">
        <v>32</v>
      </c>
      <c r="B63" s="47">
        <v>45310</v>
      </c>
      <c r="C63" s="47">
        <v>45317</v>
      </c>
      <c r="D63" s="47">
        <v>45324</v>
      </c>
      <c r="E63" s="47">
        <v>45331</v>
      </c>
      <c r="F63" s="47">
        <v>45338</v>
      </c>
      <c r="G63" s="47">
        <v>45345</v>
      </c>
      <c r="H63" s="47">
        <v>45352</v>
      </c>
      <c r="I63" s="60">
        <v>45359</v>
      </c>
      <c r="J63" s="48">
        <v>45366</v>
      </c>
      <c r="K63" s="27">
        <v>45373</v>
      </c>
      <c r="L63" s="27">
        <v>45380</v>
      </c>
    </row>
    <row r="64" spans="1:12" x14ac:dyDescent="0.35">
      <c r="A64" s="49" t="s">
        <v>80</v>
      </c>
      <c r="B64" s="50">
        <v>19</v>
      </c>
      <c r="C64" s="50">
        <v>18</v>
      </c>
      <c r="D64" s="50">
        <v>17</v>
      </c>
      <c r="E64" s="50">
        <v>16</v>
      </c>
      <c r="F64" s="50">
        <v>15</v>
      </c>
      <c r="G64" s="50">
        <v>14</v>
      </c>
      <c r="H64" s="50">
        <v>13</v>
      </c>
      <c r="I64" s="50">
        <v>12</v>
      </c>
      <c r="J64" s="51">
        <v>11</v>
      </c>
      <c r="K64" s="128">
        <v>10</v>
      </c>
      <c r="L64" s="128">
        <v>9</v>
      </c>
    </row>
    <row r="67" spans="1:7" x14ac:dyDescent="0.35">
      <c r="D67" s="27">
        <v>52232</v>
      </c>
      <c r="E67" t="b">
        <f>IF($D67&gt;$B$59, TRUE, FALSE)</f>
        <v>1</v>
      </c>
      <c r="F67" t="b">
        <f>IF($D67&lt;$C$59, TRUE, FALSE)</f>
        <v>0</v>
      </c>
      <c r="G67" t="b">
        <f>IF($D67&lt;$D$59, TRUE, FALSE)</f>
        <v>0</v>
      </c>
    </row>
    <row r="68" spans="1:7" x14ac:dyDescent="0.35">
      <c r="D68" s="27">
        <v>45323</v>
      </c>
      <c r="E68" t="b">
        <f t="shared" ref="E68:E70" si="0">IF($D68&gt;$B$59, TRUE, FALSE)</f>
        <v>1</v>
      </c>
      <c r="F68" t="b">
        <f t="shared" ref="F68:F70" si="1">IF($D68&lt;$C$59, TRUE, FALSE)</f>
        <v>1</v>
      </c>
      <c r="G68" t="b">
        <f t="shared" ref="G68:G70" si="2">IF($D68&lt;$D$59, TRUE, FALSE)</f>
        <v>1</v>
      </c>
    </row>
    <row r="69" spans="1:7" ht="15" thickBot="1" x14ac:dyDescent="0.4">
      <c r="D69" s="27">
        <v>45352</v>
      </c>
      <c r="E69" t="b">
        <f t="shared" si="0"/>
        <v>1</v>
      </c>
      <c r="F69" t="b">
        <f t="shared" si="1"/>
        <v>0</v>
      </c>
      <c r="G69" t="b">
        <f t="shared" si="2"/>
        <v>1</v>
      </c>
    </row>
    <row r="70" spans="1:7" x14ac:dyDescent="0.35">
      <c r="A70" s="38" t="s">
        <v>81</v>
      </c>
      <c r="B70" s="39"/>
      <c r="D70" s="27">
        <v>45383</v>
      </c>
      <c r="E70" t="b">
        <f t="shared" si="0"/>
        <v>1</v>
      </c>
      <c r="F70" t="b">
        <f t="shared" si="1"/>
        <v>0</v>
      </c>
      <c r="G70" t="b">
        <f t="shared" si="2"/>
        <v>0</v>
      </c>
    </row>
    <row r="71" spans="1:7" x14ac:dyDescent="0.35">
      <c r="A71" s="40" t="s">
        <v>82</v>
      </c>
      <c r="B71" s="41"/>
    </row>
    <row r="72" spans="1:7" x14ac:dyDescent="0.35">
      <c r="A72" s="11" t="s">
        <v>83</v>
      </c>
      <c r="B72" s="123">
        <v>145</v>
      </c>
    </row>
    <row r="73" spans="1:7" x14ac:dyDescent="0.35">
      <c r="A73" s="11" t="s">
        <v>84</v>
      </c>
      <c r="B73" s="123">
        <v>210</v>
      </c>
    </row>
    <row r="74" spans="1:7" x14ac:dyDescent="0.35">
      <c r="A74" s="11" t="s">
        <v>85</v>
      </c>
      <c r="B74" s="123">
        <v>120</v>
      </c>
    </row>
    <row r="75" spans="1:7" x14ac:dyDescent="0.35">
      <c r="A75" s="11" t="s">
        <v>86</v>
      </c>
      <c r="B75" s="123">
        <v>120</v>
      </c>
    </row>
    <row r="76" spans="1:7" x14ac:dyDescent="0.35">
      <c r="A76" s="11" t="s">
        <v>87</v>
      </c>
      <c r="B76" s="123">
        <v>60</v>
      </c>
    </row>
    <row r="77" spans="1:7" x14ac:dyDescent="0.35">
      <c r="A77" s="11" t="s">
        <v>88</v>
      </c>
      <c r="B77" s="123">
        <v>30</v>
      </c>
    </row>
    <row r="78" spans="1:7" ht="15" thickBot="1" x14ac:dyDescent="0.4">
      <c r="A78" s="42" t="s">
        <v>89</v>
      </c>
      <c r="B78" s="43">
        <v>0</v>
      </c>
    </row>
    <row r="79" spans="1:7" ht="15" thickBot="1" x14ac:dyDescent="0.4"/>
    <row r="80" spans="1:7" x14ac:dyDescent="0.35">
      <c r="A80" s="287" t="s">
        <v>101</v>
      </c>
      <c r="B80" s="288"/>
    </row>
    <row r="81" spans="1:2" x14ac:dyDescent="0.35">
      <c r="A81" s="11" t="s">
        <v>26</v>
      </c>
      <c r="B81" s="44">
        <v>140</v>
      </c>
    </row>
    <row r="82" spans="1:2" ht="15" thickBot="1" x14ac:dyDescent="0.4">
      <c r="A82" s="42" t="s">
        <v>9</v>
      </c>
      <c r="B82" s="45">
        <v>0</v>
      </c>
    </row>
  </sheetData>
  <sheetProtection algorithmName="SHA-512" hashValue="eCVvF1DURfPBv+Vhi22cRwWo12XgTS1hZ9a/V0M8Dods0XeskRwBoSS6AjEhfPGji/MmfUrFLAk9/L5jiTeXDg==" saltValue="lv8JMZat7rcgjxyRwVniyQ==" spinCount="100000" sheet="1" selectLockedCells="1" selectUnlockedCells="1"/>
  <mergeCells count="5">
    <mergeCell ref="H18:N18"/>
    <mergeCell ref="A3:B3"/>
    <mergeCell ref="D3:F3"/>
    <mergeCell ref="A13:C13"/>
    <mergeCell ref="A80:B80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Worksheet</vt:lpstr>
      <vt:lpstr>Data</vt:lpstr>
    </vt:vector>
  </TitlesOfParts>
  <Company>Colorado Mesa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Wilkerson, Brenna</dc:creator>
  <cp:lastModifiedBy>Little, Justin</cp:lastModifiedBy>
  <cp:lastPrinted>2022-06-21T22:46:33Z</cp:lastPrinted>
  <dcterms:created xsi:type="dcterms:W3CDTF">2019-10-03T17:28:45Z</dcterms:created>
  <dcterms:modified xsi:type="dcterms:W3CDTF">2023-12-04T21:31:49Z</dcterms:modified>
</cp:coreProperties>
</file>