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 - Brenna &amp; Justin\"/>
    </mc:Choice>
  </mc:AlternateContent>
  <xr:revisionPtr revIDLastSave="0" documentId="13_ncr:1_{2D5FADFE-A1C0-48E2-AB37-646E136DC63F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Budget Worksheet" sheetId="1" r:id="rId1"/>
    <sheet name="Data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 l="1"/>
  <c r="A48" i="1" l="1"/>
  <c r="A36" i="1"/>
  <c r="F53" i="1"/>
  <c r="F42" i="1"/>
  <c r="F27" i="1"/>
  <c r="F16" i="1"/>
  <c r="F41" i="1" l="1"/>
  <c r="F40" i="1"/>
  <c r="F39" i="1"/>
  <c r="F46" i="1" l="1"/>
  <c r="J28" i="2"/>
  <c r="K28" i="2" s="1"/>
  <c r="I28" i="2"/>
  <c r="H28" i="2" l="1"/>
  <c r="L28" i="2" s="1"/>
  <c r="F45" i="1" s="1"/>
  <c r="F48" i="1" s="1"/>
  <c r="F33" i="1"/>
  <c r="D15" i="1" l="1"/>
  <c r="F22" i="1"/>
  <c r="F23" i="1" l="1"/>
  <c r="D14" i="1" l="1"/>
  <c r="D9" i="1"/>
  <c r="H59" i="2" l="1"/>
  <c r="D8" i="2" l="1"/>
  <c r="F51" i="1" l="1"/>
  <c r="F52" i="1"/>
  <c r="F47" i="1"/>
  <c r="F34" i="1"/>
  <c r="F35" i="1"/>
  <c r="F24" i="1"/>
  <c r="F21" i="1"/>
  <c r="E68" i="2" l="1"/>
  <c r="E69" i="2"/>
  <c r="E70" i="2"/>
  <c r="E67" i="2"/>
  <c r="G68" i="2"/>
  <c r="G69" i="2"/>
  <c r="G70" i="2"/>
  <c r="G67" i="2"/>
  <c r="F68" i="2"/>
  <c r="F69" i="2"/>
  <c r="F70" i="2"/>
  <c r="F67" i="2"/>
  <c r="F15" i="1" l="1"/>
  <c r="E14" i="1"/>
  <c r="F9" i="1"/>
  <c r="D8" i="1"/>
  <c r="F8" i="1" s="1"/>
  <c r="E7" i="1"/>
  <c r="D7" i="1"/>
  <c r="F32" i="1" s="1"/>
  <c r="F36" i="1" l="1"/>
  <c r="F54" i="1" s="1"/>
  <c r="F7" i="1"/>
  <c r="F10" i="1" s="1"/>
  <c r="F28" i="1" s="1"/>
  <c r="F14" i="1"/>
  <c r="F57" i="1" l="1"/>
  <c r="C63" i="1" s="1"/>
  <c r="C61" i="1" l="1"/>
  <c r="C62" i="1"/>
  <c r="A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3" authorId="0" shapeId="0" xr:uid="{683B5C82-2111-42F4-A997-4C36674C59DD}">
      <text>
        <r>
          <rPr>
            <b/>
            <sz val="9"/>
            <color indexed="81"/>
            <rFont val="Tahoma"/>
            <family val="2"/>
          </rPr>
          <t>Wilkerson, Brenna:</t>
        </r>
        <r>
          <rPr>
            <sz val="9"/>
            <color indexed="81"/>
            <rFont val="Tahoma"/>
            <family val="2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<sst xmlns="http://schemas.openxmlformats.org/spreadsheetml/2006/main" count="247" uniqueCount="196">
  <si>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</si>
  <si>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</si>
  <si>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</si>
  <si>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</si>
  <si>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</si>
  <si>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</si>
  <si>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</si>
  <si>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</si>
  <si>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</si>
  <si>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</si>
  <si>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Room &amp; Board</t>
  </si>
  <si>
    <t>Meal Plan</t>
  </si>
  <si>
    <t>Rate Per Semester</t>
  </si>
  <si>
    <t>Activity Fee</t>
  </si>
  <si>
    <t>Room and Board Total</t>
  </si>
  <si>
    <t>Other Expenses</t>
  </si>
  <si>
    <t>Total Other Expenses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</si>
  <si>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</si>
  <si>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</si>
  <si>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</si>
  <si>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</si>
  <si>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</si>
  <si>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</si>
  <si>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</si>
  <si>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Parent PLUS Loan</t>
  </si>
  <si>
    <t>Dorm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</si>
  <si>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</si>
  <si>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</si>
  <si>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</si>
  <si>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</si>
  <si>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</si>
  <si>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</si>
  <si>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</si>
  <si>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</si>
  <si>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*Rough Estimate - Not ready for publication*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</si>
  <si>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</si>
  <si>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</si>
  <si>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</si>
  <si>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</si>
  <si>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</si>
  <si>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</si>
  <si>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</si>
  <si>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</si>
  <si>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</si>
  <si>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</si>
  <si>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</si>
  <si>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</si>
  <si>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</si>
  <si>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</si>
  <si>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</si>
  <si>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</si>
  <si>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</si>
  <si>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</si>
  <si>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</si>
  <si>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</si>
  <si>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</si>
  <si>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</si>
  <si>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</si>
  <si>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</si>
  <si>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</si>
  <si>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</si>
  <si>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</si>
  <si>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</si>
  <si>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</si>
  <si>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</si>
  <si>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</si>
  <si>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</si>
  <si>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</si>
  <si>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</si>
  <si>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</si>
  <si>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</si>
  <si>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</si>
  <si>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</si>
  <si>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</si>
  <si>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</si>
  <si>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</si>
  <si>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</si>
  <si>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</si>
  <si>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</si>
  <si>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</si>
  <si>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</si>
  <si>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</si>
  <si>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</si>
  <si>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</si>
  <si>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</si>
  <si>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</si>
  <si>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</si>
  <si>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</si>
  <si>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</si>
  <si>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</si>
  <si>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</si>
  <si>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</si>
  <si>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</si>
  <si>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</si>
  <si>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</si>
  <si>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</si>
  <si>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</si>
  <si>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</si>
  <si>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How much will I owe after financial aid has paid?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</si>
  <si>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</si>
  <si>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</si>
  <si>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</si>
  <si>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</si>
  <si>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</si>
  <si>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</si>
  <si>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</si>
  <si>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</si>
  <si>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</si>
  <si>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</si>
  <si>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</si>
  <si>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</si>
  <si>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</si>
  <si>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</si>
  <si>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</si>
  <si>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</si>
  <si>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</si>
  <si>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Description (e.g. books, transportation, rent, etc.)</t>
  </si>
  <si>
    <t>Today</t>
  </si>
  <si>
    <t>Are you enrolled in the Early Start Program?</t>
  </si>
  <si>
    <t>Step 1: Estimate your tuition charges</t>
  </si>
  <si>
    <t>On Campus/Hybrid</t>
  </si>
  <si>
    <t>Step 2: Estimate your housing costs</t>
  </si>
  <si>
    <t>Semester Budget Worksheet - Fall 2022</t>
  </si>
  <si>
    <t>Total Fall Charges</t>
  </si>
  <si>
    <r>
      <rPr>
        <b/>
        <sz val="11"/>
        <color theme="1"/>
        <rFont val="Calibri"/>
        <family val="2"/>
        <scheme val="minor"/>
      </rPr>
      <t>Step 3: Estimate other CMU expenses
-</t>
    </r>
    <r>
      <rPr>
        <sz val="11"/>
        <color theme="1"/>
        <rFont val="Calibri"/>
        <family val="2"/>
        <scheme val="minor"/>
      </rPr>
      <t>Use the drop down to select if this is your first semester at CMU. First-time students will receive a matriculation fee</t>
    </r>
  </si>
  <si>
    <t>Are you attending New Mav Days?</t>
  </si>
  <si>
    <t>-</t>
  </si>
  <si>
    <t>Use the drop down menu to select your residency/tuition classification.</t>
  </si>
  <si>
    <t>Enter the number of credit hours you will be taking of on campus and/or hybrid classes.</t>
  </si>
  <si>
    <t>Enter the number of credit hours you will be taking for online classes.</t>
  </si>
  <si>
    <t>Use the drop down menu to select your dorm room.</t>
  </si>
  <si>
    <t>Learn more at www.coloradomesa.edu/residence-life</t>
  </si>
  <si>
    <t>Use the drop down menu to select your meal plan. All students living in the dorms are required to purchase a meal plan with the exception of on-campus apartments.</t>
  </si>
  <si>
    <t>Merit Scholarships</t>
  </si>
  <si>
    <t>CMU Merit Scholarships</t>
  </si>
  <si>
    <t>Distinguished Scholar</t>
  </si>
  <si>
    <t>Presidential</t>
  </si>
  <si>
    <t>Academic Achievement</t>
  </si>
  <si>
    <t>Two Rivers</t>
  </si>
  <si>
    <t>Phi Theta Kappa</t>
  </si>
  <si>
    <t>First Generation or Legacy</t>
  </si>
  <si>
    <t>First Generation</t>
  </si>
  <si>
    <t>Legacy</t>
  </si>
  <si>
    <t>Mountains and Plains (M&amp;P)</t>
  </si>
  <si>
    <t>Use the drop down menu to select if you are attending New Mav Days, participating in an Early Start Program, and/or buying a parking permit.</t>
  </si>
  <si>
    <t>Any colored boxes are spots where you can enter in your information</t>
  </si>
  <si>
    <t>Do you have a past balance from a previous semester?</t>
  </si>
  <si>
    <t xml:space="preserve">Use the drop down menu to select if this is your first semester at CMU. All first-time students are charged a one-time, non-refundable matriculation fee that covers one-time miscellaneous expenses. </t>
  </si>
  <si>
    <t>Use the drop down menu to select if you will be receiving the Colorado Opportunity Fund (COF)</t>
  </si>
  <si>
    <t>Step 4: Enter your scholarships</t>
  </si>
  <si>
    <t>Use the drop down menu to select if you will be receiving a CMU merit scholarship.</t>
  </si>
  <si>
    <t>Use the drop down menu to select if you will be receiving the First Generation or Legacy Scholarship</t>
  </si>
  <si>
    <t xml:space="preserve">Enter the names and amounts for any other scholarships you will be receiving. </t>
  </si>
  <si>
    <t>Note: The Distinguished Scholarship for in-state students will cover tuition charges. It will be disbursed in two separate payments: one at the beginning of the semester and one in mid-September.</t>
  </si>
  <si>
    <t>Step 5: Enter your loan amounts</t>
  </si>
  <si>
    <t>Enter the amounts for any subsidized, unsubsidized, or Parent PLUS loans you plan to use. All federal loans have an origination fee that is automatically deducted.</t>
  </si>
  <si>
    <t>Learn how to view &amp; accept loans at www.coloradomesa.edu/iris/how-to-videos</t>
  </si>
  <si>
    <t>Pell Grant</t>
  </si>
  <si>
    <t>Note: If you are accepting loans for the first-time or accepting a Parent PLUS loan, you will need to complete additional steps at www.studentaid.gov. View your financial aid tasks in your MAVzone.</t>
  </si>
  <si>
    <t>Type in the name and amounts for any additional expenses (e.g. books, lab fees, course fees, etc.)</t>
  </si>
  <si>
    <t xml:space="preserve">Enter the amount for any previous semester balance. </t>
  </si>
  <si>
    <t>Note: Tuition and fee amounts are estimates only! Fall 2022 tuition and fee rates will be available July 2022.</t>
  </si>
  <si>
    <t>Note: Currently enrolled students must be enrolled in a payment plan or have their balance paid below $1000 in order to register. Students who are not currently enrolled must have their balance paid in full before registering.</t>
  </si>
  <si>
    <t>Greater than or equal to</t>
  </si>
  <si>
    <t>Pell Table</t>
  </si>
  <si>
    <t>Full</t>
  </si>
  <si>
    <t>No 1/4</t>
  </si>
  <si>
    <t>No 1/2</t>
  </si>
  <si>
    <t>No 3/4</t>
  </si>
  <si>
    <t>Less than or equal to</t>
  </si>
  <si>
    <t>Pell</t>
  </si>
  <si>
    <t>Pell Category</t>
  </si>
  <si>
    <t>3Q</t>
  </si>
  <si>
    <t>HT</t>
  </si>
  <si>
    <t>1Q</t>
  </si>
  <si>
    <t>Credit Load</t>
  </si>
  <si>
    <t>Amount</t>
  </si>
  <si>
    <t>Other Scholarships</t>
  </si>
  <si>
    <t>Not Enrolled</t>
  </si>
  <si>
    <t>Equal to</t>
  </si>
  <si>
    <t>Multiplier</t>
  </si>
  <si>
    <t>Step 6: Enter your grant amounts</t>
  </si>
  <si>
    <t>Enter the amount of Pell Grant you were offered (if applicable)</t>
  </si>
  <si>
    <t>CSG or SEOG</t>
  </si>
  <si>
    <t>Select if you received the Colorado State Grant (CSG) or the Supplemental Educational Opportunity Grant (SEOG).</t>
  </si>
  <si>
    <t xml:space="preserve">Enter the names and amounts of any other grants. </t>
  </si>
  <si>
    <t>Note: CSG, SEOG, and many other grants require you to be enrolled in 12 or more credit hours. The Pell Grant is awarded on a sliding scale based on your credit hours and financial information from the FAFSA.</t>
  </si>
  <si>
    <t>Step 7: Enter your other sources of funding</t>
  </si>
  <si>
    <t>Enter the names and amounts of other sources of funding (e.g. alternative loans, out-of-pocket payments, 529 payments, etc.)</t>
  </si>
  <si>
    <t>Step 8: Make a plan!</t>
  </si>
  <si>
    <t>How to Use this Budget Worksheet</t>
  </si>
  <si>
    <t>Type in your name and 700# (student ID number).</t>
  </si>
  <si>
    <r>
      <rPr>
        <u/>
        <sz val="11"/>
        <color theme="1"/>
        <rFont val="Calibri"/>
        <family val="2"/>
        <scheme val="minor"/>
      </rPr>
      <t>Getting a refund?</t>
    </r>
    <r>
      <rPr>
        <sz val="11"/>
        <color theme="1"/>
        <rFont val="Calibri"/>
        <family val="2"/>
        <scheme val="minor"/>
      </rPr>
      <t xml:space="preserve"> Sign up for eRefunds (direct deposit) in the ePay app in MAVzone to get your refund faster.</t>
    </r>
  </si>
  <si>
    <r>
      <rPr>
        <u/>
        <sz val="11"/>
        <color theme="1"/>
        <rFont val="Calibri"/>
        <family val="2"/>
        <scheme val="minor"/>
      </rPr>
      <t>Will you have a balance?</t>
    </r>
    <r>
      <rPr>
        <sz val="11"/>
        <color theme="1"/>
        <rFont val="Calibri"/>
        <family val="2"/>
        <scheme val="minor"/>
      </rPr>
      <t xml:space="preserve"> Check out the ePay app in MAVzone to make payments, sign up for a payment plan, and/or add authorized users who can view your account and make payments. </t>
    </r>
  </si>
  <si>
    <r>
      <rPr>
        <u/>
        <sz val="11"/>
        <color theme="1"/>
        <rFont val="Calibri"/>
        <family val="2"/>
        <scheme val="minor"/>
      </rPr>
      <t>Still have questions?</t>
    </r>
    <r>
      <rPr>
        <sz val="11"/>
        <color theme="1"/>
        <rFont val="Calibri"/>
        <family val="2"/>
        <scheme val="minor"/>
      </rPr>
      <t xml:space="preserve"> askIRIS! Schedule a financial counseling appointment with an IRIS Advisor at www.coloradomesa.edu/iris</t>
    </r>
  </si>
  <si>
    <t>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</si>
</sst>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5D002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FABAD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1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center" wrapText="1"/>
      <protection locked="0"/>
    </xf>
    <xf numFmtId="44" fontId="0" fillId="0" borderId="0" xfId="2" applyFont="1" applyFill="1" applyBorder="1" applyProtection="1">
      <protection locked="0"/>
    </xf>
    <xf numFmtId="0" fontId="0" fillId="0" borderId="15" xfId="0" applyBorder="1"/>
    <xf numFmtId="0" fontId="0" fillId="0" borderId="7" xfId="0" applyFill="1" applyBorder="1"/>
    <xf numFmtId="0" fontId="0" fillId="0" borderId="0" xfId="0" applyFill="1" applyBorder="1"/>
    <xf numFmtId="44" fontId="0" fillId="0" borderId="0" xfId="2" applyFont="1" applyFill="1" applyBorder="1"/>
    <xf numFmtId="0" fontId="8" fillId="0" borderId="23" xfId="0" applyFont="1" applyFill="1" applyBorder="1" applyAlignment="1">
      <alignment horizontal="right"/>
    </xf>
    <xf numFmtId="44" fontId="0" fillId="0" borderId="11" xfId="0" applyNumberFormat="1" applyFill="1" applyBorder="1"/>
    <xf numFmtId="44" fontId="0" fillId="0" borderId="11" xfId="0" applyNumberFormat="1" applyBorder="1"/>
    <xf numFmtId="0" fontId="3" fillId="0" borderId="0" xfId="0" applyFont="1" applyAlignment="1"/>
    <xf numFmtId="4" fontId="0" fillId="0" borderId="2" xfId="0" applyNumberFormat="1" applyBorder="1"/>
    <xf numFmtId="4" fontId="0" fillId="0" borderId="2" xfId="0" applyNumberFormat="1" applyFill="1" applyBorder="1"/>
    <xf numFmtId="4" fontId="0" fillId="0" borderId="8" xfId="0" applyNumberFormat="1" applyFill="1" applyBorder="1"/>
    <xf numFmtId="0" fontId="3" fillId="0" borderId="0" xfId="0" applyFont="1" applyBorder="1"/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6" borderId="28" xfId="0" applyFill="1" applyBorder="1"/>
    <xf numFmtId="14" fontId="0" fillId="6" borderId="29" xfId="0" applyNumberFormat="1" applyFill="1" applyBorder="1"/>
    <xf numFmtId="0" fontId="0" fillId="7" borderId="28" xfId="0" applyFill="1" applyBorder="1"/>
    <xf numFmtId="0" fontId="0" fillId="7" borderId="26" xfId="0" applyFill="1" applyBorder="1"/>
    <xf numFmtId="0" fontId="0" fillId="7" borderId="0" xfId="0" applyFill="1" applyBorder="1"/>
    <xf numFmtId="14" fontId="0" fillId="7" borderId="10" xfId="0" applyNumberFormat="1" applyFill="1" applyBorder="1"/>
    <xf numFmtId="0" fontId="0" fillId="6" borderId="0" xfId="0" applyFill="1" applyBorder="1"/>
    <xf numFmtId="0" fontId="0" fillId="6" borderId="29" xfId="0" applyFill="1" applyBorder="1"/>
    <xf numFmtId="0" fontId="0" fillId="6" borderId="26" xfId="0" applyFill="1" applyBorder="1"/>
    <xf numFmtId="14" fontId="0" fillId="6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Font="1" applyBorder="1"/>
    <xf numFmtId="2" fontId="0" fillId="0" borderId="16" xfId="2" applyNumberFormat="1" applyFont="1" applyBorder="1"/>
    <xf numFmtId="0" fontId="0" fillId="0" borderId="20" xfId="0" applyFont="1" applyBorder="1"/>
    <xf numFmtId="164" fontId="3" fillId="0" borderId="21" xfId="2" applyNumberFormat="1" applyFont="1" applyBorder="1"/>
    <xf numFmtId="164" fontId="0" fillId="0" borderId="16" xfId="0" applyNumberFormat="1" applyBorder="1"/>
    <xf numFmtId="0" fontId="0" fillId="0" borderId="20" xfId="0" applyBorder="1"/>
    <xf numFmtId="44" fontId="0" fillId="0" borderId="21" xfId="0" applyNumberFormat="1" applyBorder="1"/>
    <xf numFmtId="0" fontId="0" fillId="8" borderId="26" xfId="0" applyFill="1" applyBorder="1"/>
    <xf numFmtId="14" fontId="0" fillId="8" borderId="10" xfId="0" applyNumberFormat="1" applyFill="1" applyBorder="1"/>
    <xf numFmtId="14" fontId="0" fillId="8" borderId="27" xfId="0" applyNumberFormat="1" applyFill="1" applyBorder="1"/>
    <xf numFmtId="0" fontId="0" fillId="8" borderId="30" xfId="0" applyFill="1" applyBorder="1"/>
    <xf numFmtId="0" fontId="0" fillId="8" borderId="9" xfId="0" applyFill="1" applyBorder="1"/>
    <xf numFmtId="0" fontId="0" fillId="8" borderId="22" xfId="0" applyFill="1" applyBorder="1"/>
    <xf numFmtId="14" fontId="0" fillId="5" borderId="26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44" fontId="0" fillId="3" borderId="11" xfId="0" applyNumberFormat="1" applyFill="1" applyBorder="1"/>
    <xf numFmtId="0" fontId="5" fillId="0" borderId="0" xfId="0" applyFont="1" applyFill="1" applyBorder="1"/>
    <xf numFmtId="44" fontId="0" fillId="0" borderId="11" xfId="0" applyNumberFormat="1" applyBorder="1" applyAlignment="1">
      <alignment horizontal="center"/>
    </xf>
    <xf numFmtId="0" fontId="0" fillId="9" borderId="31" xfId="0" applyFill="1" applyBorder="1" applyAlignment="1"/>
    <xf numFmtId="1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4" fontId="0" fillId="8" borderId="0" xfId="0" applyNumberFormat="1" applyFill="1"/>
    <xf numFmtId="0" fontId="0" fillId="0" borderId="9" xfId="0" applyBorder="1"/>
    <xf numFmtId="0" fontId="0" fillId="8" borderId="0" xfId="0" applyFill="1" applyBorder="1"/>
    <xf numFmtId="0" fontId="7" fillId="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36" xfId="0" applyFont="1" applyFill="1" applyBorder="1" applyAlignment="1">
      <alignment horizontal="center" wrapText="1"/>
    </xf>
    <xf numFmtId="44" fontId="0" fillId="0" borderId="16" xfId="0" applyNumberFormat="1" applyFill="1" applyBorder="1"/>
    <xf numFmtId="44" fontId="8" fillId="0" borderId="38" xfId="0" applyNumberFormat="1" applyFont="1" applyFill="1" applyBorder="1"/>
    <xf numFmtId="44" fontId="0" fillId="0" borderId="16" xfId="0" applyNumberFormat="1" applyBorder="1"/>
    <xf numFmtId="44" fontId="3" fillId="0" borderId="40" xfId="0" applyNumberFormat="1" applyFont="1" applyFill="1" applyBorder="1"/>
    <xf numFmtId="0" fontId="3" fillId="0" borderId="36" xfId="0" applyFont="1" applyFill="1" applyBorder="1" applyAlignment="1">
      <alignment horizontal="center"/>
    </xf>
    <xf numFmtId="44" fontId="2" fillId="4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44" fontId="0" fillId="0" borderId="16" xfId="0" applyNumberFormat="1" applyFont="1" applyBorder="1"/>
    <xf numFmtId="44" fontId="0" fillId="0" borderId="42" xfId="0" applyNumberFormat="1" applyFont="1" applyBorder="1"/>
    <xf numFmtId="44" fontId="8" fillId="0" borderId="40" xfId="2" applyFont="1" applyFill="1" applyBorder="1" applyProtection="1">
      <protection hidden="1"/>
    </xf>
    <xf numFmtId="44" fontId="4" fillId="0" borderId="2" xfId="2" applyFont="1" applyFill="1" applyBorder="1" applyProtection="1">
      <protection hidden="1"/>
    </xf>
    <xf numFmtId="44" fontId="8" fillId="0" borderId="40" xfId="2" applyFont="1" applyFill="1" applyBorder="1" applyAlignment="1" applyProtection="1">
      <alignment horizontal="right"/>
      <protection hidden="1"/>
    </xf>
    <xf numFmtId="0" fontId="0" fillId="0" borderId="1" xfId="0" applyFont="1" applyFill="1" applyBorder="1"/>
    <xf numFmtId="0" fontId="5" fillId="0" borderId="1" xfId="0" applyFont="1" applyFill="1" applyBorder="1"/>
    <xf numFmtId="44" fontId="9" fillId="0" borderId="40" xfId="2" applyFont="1" applyFill="1" applyBorder="1" applyProtection="1">
      <protection hidden="1"/>
    </xf>
    <xf numFmtId="44" fontId="3" fillId="0" borderId="2" xfId="0" applyNumberFormat="1" applyFont="1" applyBorder="1"/>
    <xf numFmtId="44" fontId="0" fillId="0" borderId="43" xfId="0" applyNumberFormat="1" applyBorder="1" applyAlignment="1">
      <alignment horizontal="center"/>
    </xf>
    <xf numFmtId="0" fontId="18" fillId="0" borderId="17" xfId="0" applyFont="1" applyFill="1" applyBorder="1" applyAlignment="1"/>
    <xf numFmtId="0" fontId="3" fillId="0" borderId="32" xfId="0" applyFont="1" applyFill="1" applyBorder="1" applyAlignment="1"/>
    <xf numFmtId="0" fontId="0" fillId="0" borderId="15" xfId="0" applyFill="1" applyBorder="1"/>
    <xf numFmtId="0" fontId="8" fillId="11" borderId="1" xfId="0" applyFont="1" applyFill="1" applyBorder="1" applyAlignment="1">
      <alignment horizontal="center" wrapText="1"/>
    </xf>
    <xf numFmtId="44" fontId="0" fillId="7" borderId="41" xfId="0" applyNumberFormat="1" applyFill="1" applyBorder="1" applyProtection="1">
      <protection locked="0"/>
    </xf>
    <xf numFmtId="44" fontId="0" fillId="8" borderId="11" xfId="2" applyFont="1" applyFill="1" applyBorder="1" applyProtection="1">
      <protection locked="0"/>
    </xf>
    <xf numFmtId="44" fontId="0" fillId="8" borderId="11" xfId="0" applyNumberFormat="1" applyFont="1" applyFill="1" applyBorder="1" applyAlignment="1" applyProtection="1">
      <protection locked="0"/>
    </xf>
    <xf numFmtId="44" fontId="0" fillId="12" borderId="11" xfId="2" applyFont="1" applyFill="1" applyBorder="1" applyProtection="1">
      <protection locked="0"/>
    </xf>
    <xf numFmtId="0" fontId="8" fillId="13" borderId="1" xfId="0" applyFont="1" applyFill="1" applyBorder="1" applyAlignment="1">
      <alignment horizontal="center" wrapText="1"/>
    </xf>
    <xf numFmtId="44" fontId="0" fillId="11" borderId="11" xfId="2" applyFont="1" applyFill="1" applyBorder="1" applyProtection="1">
      <protection locked="0"/>
    </xf>
    <xf numFmtId="44" fontId="0" fillId="14" borderId="11" xfId="2" applyFont="1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 wrapText="1"/>
    </xf>
    <xf numFmtId="0" fontId="3" fillId="0" borderId="4" xfId="0" applyFont="1" applyBorder="1"/>
    <xf numFmtId="0" fontId="16" fillId="0" borderId="0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2" fillId="0" borderId="0" xfId="0" applyFont="1" applyBorder="1" applyAlignment="1"/>
    <xf numFmtId="0" fontId="0" fillId="0" borderId="0" xfId="0" applyBorder="1" applyAlignment="1"/>
    <xf numFmtId="0" fontId="16" fillId="0" borderId="0" xfId="0" applyFont="1" applyBorder="1"/>
    <xf numFmtId="0" fontId="16" fillId="0" borderId="2" xfId="0" applyFont="1" applyBorder="1"/>
    <xf numFmtId="0" fontId="12" fillId="0" borderId="1" xfId="0" applyFont="1" applyBorder="1" applyAlignment="1"/>
    <xf numFmtId="16" fontId="3" fillId="0" borderId="0" xfId="0" applyNumberFormat="1" applyFont="1" applyBorder="1"/>
    <xf numFmtId="0" fontId="3" fillId="0" borderId="2" xfId="0" applyFont="1" applyBorder="1"/>
    <xf numFmtId="0" fontId="16" fillId="0" borderId="1" xfId="0" applyFont="1" applyBorder="1"/>
    <xf numFmtId="0" fontId="3" fillId="5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5" xfId="0" applyNumberFormat="1" applyBorder="1"/>
    <xf numFmtId="0" fontId="0" fillId="0" borderId="5" xfId="0" applyBorder="1" applyAlignment="1">
      <alignment horizontal="center"/>
    </xf>
    <xf numFmtId="0" fontId="0" fillId="5" borderId="5" xfId="0" applyFill="1" applyBorder="1"/>
    <xf numFmtId="0" fontId="8" fillId="14" borderId="1" xfId="0" applyFont="1" applyFill="1" applyBorder="1" applyAlignment="1">
      <alignment horizontal="center" wrapText="1"/>
    </xf>
    <xf numFmtId="0" fontId="8" fillId="14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15" borderId="11" xfId="0" applyFill="1" applyBorder="1" applyAlignment="1" applyProtection="1">
      <alignment horizontal="center"/>
      <protection locked="0"/>
    </xf>
    <xf numFmtId="0" fontId="3" fillId="15" borderId="1" xfId="0" applyFont="1" applyFill="1" applyBorder="1" applyAlignment="1">
      <alignment horizontal="center"/>
    </xf>
    <xf numFmtId="0" fontId="0" fillId="15" borderId="16" xfId="0" applyFill="1" applyBorder="1" applyAlignment="1" applyProtection="1">
      <protection locked="0"/>
    </xf>
    <xf numFmtId="0" fontId="6" fillId="3" borderId="11" xfId="0" applyFont="1" applyFill="1" applyBorder="1" applyAlignment="1">
      <alignment horizontal="center"/>
    </xf>
    <xf numFmtId="44" fontId="0" fillId="0" borderId="16" xfId="0" applyNumberFormat="1" applyFill="1" applyBorder="1" applyProtection="1"/>
    <xf numFmtId="44" fontId="0" fillId="0" borderId="41" xfId="0" applyNumberFormat="1" applyFill="1" applyBorder="1" applyProtection="1"/>
    <xf numFmtId="44" fontId="0" fillId="0" borderId="11" xfId="2" applyFont="1" applyFill="1" applyBorder="1" applyProtection="1"/>
    <xf numFmtId="0" fontId="8" fillId="0" borderId="17" xfId="0" applyFont="1" applyFill="1" applyBorder="1" applyAlignment="1">
      <alignment horizontal="right"/>
    </xf>
    <xf numFmtId="2" fontId="0" fillId="0" borderId="0" xfId="0" applyNumberFormat="1"/>
    <xf numFmtId="0" fontId="0" fillId="0" borderId="8" xfId="0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13" borderId="11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0" fillId="0" borderId="37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0" fontId="0" fillId="8" borderId="12" xfId="0" applyFont="1" applyFill="1" applyBorder="1" applyAlignment="1" applyProtection="1">
      <alignment horizontal="center"/>
      <protection locked="0"/>
    </xf>
    <xf numFmtId="0" fontId="0" fillId="8" borderId="14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/>
    <xf numFmtId="0" fontId="0" fillId="0" borderId="13" xfId="0" applyFill="1" applyBorder="1" applyAlignment="1" applyProtection="1"/>
    <xf numFmtId="0" fontId="0" fillId="0" borderId="14" xfId="0" applyFill="1" applyBorder="1" applyAlignment="1" applyProtection="1"/>
    <xf numFmtId="0" fontId="0" fillId="7" borderId="12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" fillId="4" borderId="46" xfId="0" applyFont="1" applyFill="1" applyBorder="1" applyAlignment="1">
      <alignment horizontal="right"/>
    </xf>
    <xf numFmtId="0" fontId="2" fillId="4" borderId="47" xfId="0" applyFont="1" applyFill="1" applyBorder="1" applyAlignment="1">
      <alignment horizontal="right"/>
    </xf>
    <xf numFmtId="0" fontId="7" fillId="3" borderId="3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14" borderId="37" xfId="0" applyFont="1" applyFill="1" applyBorder="1" applyAlignment="1" applyProtection="1">
      <alignment horizontal="center"/>
      <protection locked="0"/>
    </xf>
    <xf numFmtId="0" fontId="9" fillId="14" borderId="13" xfId="0" applyFont="1" applyFill="1" applyBorder="1" applyAlignment="1" applyProtection="1">
      <alignment horizontal="center"/>
      <protection locked="0"/>
    </xf>
    <xf numFmtId="0" fontId="9" fillId="14" borderId="14" xfId="0" applyFont="1" applyFill="1" applyBorder="1" applyAlignment="1" applyProtection="1">
      <alignment horizontal="center"/>
      <protection locked="0"/>
    </xf>
    <xf numFmtId="0" fontId="0" fillId="11" borderId="37" xfId="0" applyFont="1" applyFill="1" applyBorder="1" applyAlignment="1" applyProtection="1">
      <alignment horizontal="center"/>
      <protection locked="0"/>
    </xf>
    <xf numFmtId="0" fontId="0" fillId="11" borderId="13" xfId="0" applyFont="1" applyFill="1" applyBorder="1" applyAlignment="1" applyProtection="1">
      <alignment horizontal="center"/>
      <protection locked="0"/>
    </xf>
    <xf numFmtId="0" fontId="0" fillId="11" borderId="14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 wrapText="1"/>
    </xf>
    <xf numFmtId="0" fontId="0" fillId="0" borderId="13" xfId="0" applyFont="1" applyFill="1" applyBorder="1" applyAlignment="1" applyProtection="1">
      <alignment horizontal="left" wrapText="1"/>
    </xf>
    <xf numFmtId="0" fontId="0" fillId="0" borderId="14" xfId="0" applyFont="1" applyFill="1" applyBorder="1" applyAlignment="1" applyProtection="1">
      <alignment horizontal="left" wrapText="1"/>
    </xf>
    <xf numFmtId="0" fontId="0" fillId="0" borderId="37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left" wrapText="1"/>
    </xf>
    <xf numFmtId="0" fontId="12" fillId="0" borderId="6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15" borderId="12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0" fillId="15" borderId="32" xfId="0" applyFill="1" applyBorder="1" applyAlignment="1" applyProtection="1">
      <alignment horizontal="center"/>
      <protection locked="0"/>
    </xf>
    <xf numFmtId="0" fontId="0" fillId="15" borderId="34" xfId="0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37" xfId="0" applyFont="1" applyFill="1" applyBorder="1" applyAlignment="1" applyProtection="1"/>
    <xf numFmtId="0" fontId="9" fillId="0" borderId="13" xfId="0" applyFont="1" applyFill="1" applyBorder="1" applyAlignment="1" applyProtection="1"/>
    <xf numFmtId="0" fontId="9" fillId="0" borderId="14" xfId="0" applyFont="1" applyFill="1" applyBorder="1" applyAlignment="1" applyProtection="1"/>
    <xf numFmtId="0" fontId="9" fillId="7" borderId="12" xfId="0" applyFont="1" applyFill="1" applyBorder="1" applyAlignment="1" applyProtection="1">
      <alignment horizontal="center"/>
      <protection locked="0"/>
    </xf>
    <xf numFmtId="0" fontId="9" fillId="7" borderId="14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top" wrapText="1"/>
    </xf>
    <xf numFmtId="0" fontId="3" fillId="12" borderId="4" xfId="0" applyFont="1" applyFill="1" applyBorder="1" applyAlignment="1">
      <alignment horizontal="center" vertical="top" wrapText="1"/>
    </xf>
    <xf numFmtId="0" fontId="0" fillId="12" borderId="2" xfId="0" applyFill="1" applyBorder="1" applyAlignment="1">
      <alignment horizontal="left" vertical="top" wrapText="1"/>
    </xf>
    <xf numFmtId="0" fontId="16" fillId="12" borderId="1" xfId="0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left" vertical="center" wrapText="1"/>
    </xf>
    <xf numFmtId="0" fontId="16" fillId="12" borderId="2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left" vertical="center" wrapText="1"/>
    </xf>
    <xf numFmtId="0" fontId="16" fillId="12" borderId="5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8" borderId="37" xfId="0" applyFont="1" applyFill="1" applyBorder="1" applyAlignment="1" applyProtection="1">
      <alignment horizontal="center"/>
      <protection locked="0"/>
    </xf>
    <xf numFmtId="0" fontId="0" fillId="8" borderId="1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14" borderId="0" xfId="0" applyFill="1" applyBorder="1" applyAlignment="1">
      <alignment horizontal="left" vertical="top" wrapText="1"/>
    </xf>
    <xf numFmtId="0" fontId="0" fillId="14" borderId="2" xfId="0" applyFill="1" applyBorder="1" applyAlignment="1">
      <alignment horizontal="left" vertical="top" wrapText="1"/>
    </xf>
    <xf numFmtId="0" fontId="0" fillId="14" borderId="5" xfId="0" applyFill="1" applyBorder="1" applyAlignment="1">
      <alignment horizontal="left" vertical="top" wrapText="1"/>
    </xf>
    <xf numFmtId="0" fontId="0" fillId="14" borderId="8" xfId="0" applyFill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11" borderId="2" xfId="0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left" vertical="center" wrapText="1"/>
    </xf>
    <xf numFmtId="0" fontId="16" fillId="11" borderId="8" xfId="0" applyFont="1" applyFill="1" applyBorder="1" applyAlignment="1">
      <alignment horizontal="left" vertical="center" wrapText="1"/>
    </xf>
    <xf numFmtId="0" fontId="3" fillId="14" borderId="6" xfId="0" applyFont="1" applyFill="1" applyBorder="1" applyAlignment="1">
      <alignment horizontal="center" vertical="top" wrapText="1"/>
    </xf>
    <xf numFmtId="0" fontId="3" fillId="14" borderId="3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horizontal="center" vertical="top" wrapText="1"/>
    </xf>
    <xf numFmtId="0" fontId="3" fillId="15" borderId="6" xfId="0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 vertical="top" wrapText="1"/>
    </xf>
    <xf numFmtId="0" fontId="3" fillId="15" borderId="4" xfId="0" applyFont="1" applyFill="1" applyBorder="1" applyAlignment="1">
      <alignment horizontal="center" vertical="top" wrapText="1"/>
    </xf>
    <xf numFmtId="0" fontId="0" fillId="15" borderId="2" xfId="0" applyFill="1" applyBorder="1" applyAlignment="1">
      <alignment horizontal="left"/>
    </xf>
    <xf numFmtId="0" fontId="19" fillId="15" borderId="1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9" fillId="15" borderId="7" xfId="0" applyFont="1" applyFill="1" applyBorder="1" applyAlignment="1">
      <alignment horizontal="center" vertical="center" wrapText="1"/>
    </xf>
    <xf numFmtId="0" fontId="19" fillId="15" borderId="5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 wrapText="1"/>
    </xf>
    <xf numFmtId="0" fontId="3" fillId="13" borderId="4" xfId="0" applyFont="1" applyFill="1" applyBorder="1" applyAlignment="1">
      <alignment horizontal="center" vertical="top" wrapText="1"/>
    </xf>
    <xf numFmtId="0" fontId="0" fillId="13" borderId="2" xfId="0" applyFill="1" applyBorder="1" applyAlignment="1">
      <alignment horizontal="left" vertical="top"/>
    </xf>
    <xf numFmtId="0" fontId="0" fillId="13" borderId="0" xfId="0" applyFill="1" applyBorder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0" fontId="0" fillId="13" borderId="5" xfId="0" applyFill="1" applyBorder="1" applyAlignment="1">
      <alignment horizontal="left" vertical="top" wrapText="1"/>
    </xf>
    <xf numFmtId="0" fontId="0" fillId="13" borderId="8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20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D"/>
      <color rgb="FFE0C1FF"/>
      <color rgb="FFC0E399"/>
      <color rgb="FF99FFCC"/>
      <color rgb="FFFFD28F"/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54025</xdr:colOff>
      <xdr:row>55</xdr:row>
      <xdr:rowOff>141111</xdr:rowOff>
    </xdr:from>
    <xdr:to>
      <xdr:col>9</xdr:col>
      <xdr:colOff>1679031</xdr:colOff>
      <xdr:row>62</xdr:row>
      <xdr:rowOff>19116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F0361F-8C16-4B6D-97AE-16530CB4A6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863"/>
        <a:stretch/>
      </xdr:blipFill>
      <xdr:spPr>
        <a:xfrm>
          <a:off x="13049076" y="10653889"/>
          <a:ext cx="1625006" cy="1212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3"/>
  <sheetViews>
    <sheetView showGridLines="0" tabSelected="1" showRuler="0" topLeftCell="A10" zoomScale="99" zoomScaleNormal="99" zoomScalePageLayoutView="90" workbookViewId="0">
      <selection activeCell="C33" sqref="C33:D33"/>
    </sheetView>
  </sheetViews>
  <sheetFormatPr defaultRowHeight="15" x14ac:dyDescent="0.25"/>
  <cols>
    <col min="1" max="1" width="11.42578125" customWidth="1"/>
    <col min="2" max="2" width="17.42578125" customWidth="1"/>
    <col min="3" max="3" width="17.7109375" customWidth="1"/>
    <col min="4" max="4" width="19.85546875" customWidth="1"/>
    <col min="5" max="5" width="18.42578125" customWidth="1"/>
    <col min="6" max="6" width="22.28515625" customWidth="1"/>
    <col min="7" max="7" width="7.28515625" customWidth="1"/>
    <col min="8" max="8" width="2" style="118" customWidth="1"/>
    <col min="9" max="9" width="78.28515625" customWidth="1"/>
    <col min="10" max="10" width="26.42578125" customWidth="1"/>
  </cols>
  <sheetData>
    <row r="1" spans="1:10" ht="18.75" customHeight="1" x14ac:dyDescent="0.25">
      <c r="A1" s="210" t="s">
        <v>122</v>
      </c>
      <c r="B1" s="211"/>
      <c r="C1" s="211"/>
      <c r="D1" s="211"/>
      <c r="E1" s="211"/>
      <c r="F1" s="212"/>
      <c r="H1" s="266" t="s">
        <v>190</v>
      </c>
      <c r="I1" s="266"/>
      <c r="J1" s="266"/>
    </row>
    <row r="2" spans="1:10" x14ac:dyDescent="0.25">
      <c r="A2" s="87" t="s">
        <v>1</v>
      </c>
      <c r="B2" s="213"/>
      <c r="C2" s="214"/>
      <c r="D2" s="77"/>
      <c r="E2" s="73" t="s">
        <v>0</v>
      </c>
      <c r="F2" s="144"/>
      <c r="H2" s="267" t="s">
        <v>145</v>
      </c>
      <c r="I2" s="267"/>
      <c r="J2" s="267"/>
    </row>
    <row r="3" spans="1:10" ht="6.6" customHeight="1" thickBot="1" x14ac:dyDescent="0.3">
      <c r="A3" s="4"/>
      <c r="B3" s="5"/>
      <c r="C3" s="5"/>
      <c r="D3" s="5"/>
      <c r="E3" s="5"/>
      <c r="F3" s="3"/>
      <c r="I3" s="5"/>
    </row>
    <row r="4" spans="1:10" ht="15.75" customHeight="1" x14ac:dyDescent="0.25">
      <c r="A4" s="171" t="s">
        <v>17</v>
      </c>
      <c r="B4" s="172"/>
      <c r="C4" s="172"/>
      <c r="D4" s="172"/>
      <c r="E4" s="172"/>
      <c r="F4" s="173"/>
      <c r="H4" s="287" t="s">
        <v>119</v>
      </c>
      <c r="I4" s="288"/>
      <c r="J4" s="289"/>
    </row>
    <row r="5" spans="1:10" x14ac:dyDescent="0.25">
      <c r="A5" s="152" t="s">
        <v>103</v>
      </c>
      <c r="B5" s="153"/>
      <c r="C5" s="217"/>
      <c r="D5" s="107" t="s">
        <v>18</v>
      </c>
      <c r="E5" s="215"/>
      <c r="F5" s="216"/>
      <c r="H5" s="143" t="s">
        <v>126</v>
      </c>
      <c r="I5" s="290" t="s">
        <v>191</v>
      </c>
      <c r="J5" s="290"/>
    </row>
    <row r="6" spans="1:10" x14ac:dyDescent="0.25">
      <c r="A6" s="218"/>
      <c r="B6" s="219"/>
      <c r="C6" s="85" t="s">
        <v>3</v>
      </c>
      <c r="D6" s="85" t="s">
        <v>90</v>
      </c>
      <c r="E6" s="85" t="s">
        <v>91</v>
      </c>
      <c r="F6" s="88" t="s">
        <v>5</v>
      </c>
      <c r="H6" s="143" t="s">
        <v>126</v>
      </c>
      <c r="I6" s="290" t="s">
        <v>127</v>
      </c>
      <c r="J6" s="290"/>
    </row>
    <row r="7" spans="1:10" x14ac:dyDescent="0.25">
      <c r="A7" s="156" t="s">
        <v>120</v>
      </c>
      <c r="B7" s="157"/>
      <c r="C7" s="142"/>
      <c r="D7" s="19">
        <f>IF(C7=0,0,IF(E5="",0,VLOOKUP(E5,Data!A5:B9,2,FALSE)))</f>
        <v>0</v>
      </c>
      <c r="E7" s="19">
        <f>IF(C7=0,0,Data!B11)</f>
        <v>0</v>
      </c>
      <c r="F7" s="89">
        <f>C7*(D7+E7)</f>
        <v>0</v>
      </c>
      <c r="H7" s="143" t="s">
        <v>126</v>
      </c>
      <c r="I7" s="290" t="s">
        <v>128</v>
      </c>
      <c r="J7" s="290"/>
    </row>
    <row r="8" spans="1:10" x14ac:dyDescent="0.25">
      <c r="A8" s="156" t="s">
        <v>7</v>
      </c>
      <c r="B8" s="157"/>
      <c r="C8" s="142"/>
      <c r="D8" s="19">
        <f>IF(C8=0,0,Data!B9)</f>
        <v>0</v>
      </c>
      <c r="E8" s="19">
        <v>0</v>
      </c>
      <c r="F8" s="89">
        <f>C8*D8</f>
        <v>0</v>
      </c>
      <c r="H8" s="143" t="s">
        <v>126</v>
      </c>
      <c r="I8" s="290" t="s">
        <v>129</v>
      </c>
      <c r="J8" s="290"/>
    </row>
    <row r="9" spans="1:10" x14ac:dyDescent="0.25">
      <c r="A9" s="156" t="s">
        <v>8</v>
      </c>
      <c r="B9" s="157"/>
      <c r="C9" s="142"/>
      <c r="D9" s="19">
        <f>IF(C9="Yes",-94,0)</f>
        <v>0</v>
      </c>
      <c r="E9" s="74"/>
      <c r="F9" s="89">
        <f>IF(C9="Yes",(C7+C8)*D9,0)</f>
        <v>0</v>
      </c>
      <c r="H9" s="143" t="s">
        <v>126</v>
      </c>
      <c r="I9" s="290" t="s">
        <v>148</v>
      </c>
      <c r="J9" s="290"/>
    </row>
    <row r="10" spans="1:10" ht="15.75" customHeight="1" thickBot="1" x14ac:dyDescent="0.3">
      <c r="A10" s="158" t="s">
        <v>102</v>
      </c>
      <c r="B10" s="159"/>
      <c r="C10" s="159"/>
      <c r="D10" s="159"/>
      <c r="E10" s="18" t="s">
        <v>108</v>
      </c>
      <c r="F10" s="90">
        <f>SUM(F7:F9)</f>
        <v>0</v>
      </c>
      <c r="H10" s="291" t="s">
        <v>161</v>
      </c>
      <c r="I10" s="292"/>
      <c r="J10" s="293"/>
    </row>
    <row r="11" spans="1:10" ht="12.75" customHeight="1" thickTop="1" thickBot="1" x14ac:dyDescent="0.3">
      <c r="A11" s="4"/>
      <c r="B11" s="5"/>
      <c r="C11" s="5"/>
      <c r="D11" s="5"/>
      <c r="E11" s="5"/>
      <c r="F11" s="3"/>
      <c r="H11" s="294"/>
      <c r="I11" s="295"/>
      <c r="J11" s="296"/>
    </row>
    <row r="12" spans="1:10" ht="15.75" thickBot="1" x14ac:dyDescent="0.3">
      <c r="A12" s="152" t="s">
        <v>10</v>
      </c>
      <c r="B12" s="153"/>
      <c r="C12" s="153"/>
      <c r="D12" s="153"/>
      <c r="E12" s="153"/>
      <c r="F12" s="154"/>
    </row>
    <row r="13" spans="1:10" ht="15" customHeight="1" x14ac:dyDescent="0.25">
      <c r="A13" s="160"/>
      <c r="B13" s="161"/>
      <c r="C13" s="161"/>
      <c r="D13" s="85" t="s">
        <v>12</v>
      </c>
      <c r="E13" s="85" t="s">
        <v>13</v>
      </c>
      <c r="F13" s="88" t="s">
        <v>5</v>
      </c>
      <c r="H13" s="297" t="s">
        <v>121</v>
      </c>
      <c r="I13" s="298"/>
      <c r="J13" s="299"/>
    </row>
    <row r="14" spans="1:10" ht="15" customHeight="1" x14ac:dyDescent="0.25">
      <c r="A14" s="108" t="s">
        <v>25</v>
      </c>
      <c r="B14" s="155"/>
      <c r="C14" s="155"/>
      <c r="D14" s="20">
        <f>IF(B14="",0,VLOOKUP(B14,Data!A15:C39,3,FALSE))</f>
        <v>0</v>
      </c>
      <c r="E14" s="20">
        <f>IF(B14="",0,Data!C42)</f>
        <v>0</v>
      </c>
      <c r="F14" s="91">
        <f>SUM(D14:E14)</f>
        <v>0</v>
      </c>
      <c r="H14" s="114" t="s">
        <v>126</v>
      </c>
      <c r="I14" s="300" t="s">
        <v>130</v>
      </c>
      <c r="J14" s="300"/>
    </row>
    <row r="15" spans="1:10" ht="15" customHeight="1" x14ac:dyDescent="0.25">
      <c r="A15" s="108" t="s">
        <v>11</v>
      </c>
      <c r="B15" s="155"/>
      <c r="C15" s="155"/>
      <c r="D15" s="20">
        <f>IF(B15="",0,VLOOKUP(B15,Data!A48:C50,3,FALSE))</f>
        <v>0</v>
      </c>
      <c r="E15" s="74"/>
      <c r="F15" s="91">
        <f>D15</f>
        <v>0</v>
      </c>
      <c r="H15" s="114" t="s">
        <v>126</v>
      </c>
      <c r="I15" s="301" t="s">
        <v>132</v>
      </c>
      <c r="J15" s="302"/>
    </row>
    <row r="16" spans="1:10" ht="15.75" thickBot="1" x14ac:dyDescent="0.3">
      <c r="A16" s="158" t="s">
        <v>131</v>
      </c>
      <c r="B16" s="159"/>
      <c r="C16" s="159"/>
      <c r="D16" s="106"/>
      <c r="E16" s="84" t="s">
        <v>14</v>
      </c>
      <c r="F16" s="92">
        <f>SUM(F14:F15)</f>
        <v>0</v>
      </c>
      <c r="H16" s="119"/>
      <c r="I16" s="303"/>
      <c r="J16" s="304"/>
    </row>
    <row r="17" spans="1:10" ht="16.5" customHeight="1" thickTop="1" thickBot="1" x14ac:dyDescent="0.3">
      <c r="A17" s="4"/>
      <c r="B17" s="5"/>
      <c r="C17" s="5"/>
      <c r="D17" s="5"/>
      <c r="E17" s="5"/>
      <c r="F17" s="3"/>
    </row>
    <row r="18" spans="1:10" ht="15" customHeight="1" x14ac:dyDescent="0.25">
      <c r="A18" s="220" t="s">
        <v>15</v>
      </c>
      <c r="B18" s="221"/>
      <c r="C18" s="221"/>
      <c r="D18" s="221"/>
      <c r="E18" s="221"/>
      <c r="F18" s="222"/>
      <c r="H18" s="305" t="s">
        <v>124</v>
      </c>
      <c r="I18" s="306"/>
      <c r="J18" s="307"/>
    </row>
    <row r="19" spans="1:10" ht="15" customHeight="1" x14ac:dyDescent="0.25">
      <c r="A19" s="223" t="s">
        <v>116</v>
      </c>
      <c r="B19" s="224"/>
      <c r="C19" s="224"/>
      <c r="D19" s="224"/>
      <c r="E19" s="224"/>
      <c r="F19" s="93" t="s">
        <v>5</v>
      </c>
      <c r="H19" s="120" t="s">
        <v>126</v>
      </c>
      <c r="I19" s="254" t="s">
        <v>160</v>
      </c>
      <c r="J19" s="254"/>
    </row>
    <row r="20" spans="1:10" ht="15" customHeight="1" x14ac:dyDescent="0.25">
      <c r="A20" s="230" t="s">
        <v>146</v>
      </c>
      <c r="B20" s="231"/>
      <c r="C20" s="231"/>
      <c r="D20" s="231"/>
      <c r="E20" s="232"/>
      <c r="F20" s="110">
        <v>0</v>
      </c>
      <c r="H20" s="120" t="s">
        <v>126</v>
      </c>
      <c r="I20" s="255" t="s">
        <v>147</v>
      </c>
      <c r="J20" s="254"/>
    </row>
    <row r="21" spans="1:10" x14ac:dyDescent="0.25">
      <c r="A21" s="166" t="s">
        <v>104</v>
      </c>
      <c r="B21" s="167"/>
      <c r="C21" s="168"/>
      <c r="D21" s="169"/>
      <c r="E21" s="170"/>
      <c r="F21" s="146">
        <f>_xlfn.IFS(D21="", 0, D21="Yes", 140, D21="No",0)</f>
        <v>0</v>
      </c>
      <c r="H21" s="120"/>
      <c r="I21" s="255"/>
      <c r="J21" s="254"/>
    </row>
    <row r="22" spans="1:10" ht="15" customHeight="1" x14ac:dyDescent="0.25">
      <c r="A22" s="166" t="s">
        <v>125</v>
      </c>
      <c r="B22" s="167"/>
      <c r="C22" s="168"/>
      <c r="D22" s="169"/>
      <c r="E22" s="170"/>
      <c r="F22" s="147">
        <f>_xlfn.IFS(D22="", 0, D22="Yes", 90, D22="No",0)</f>
        <v>0</v>
      </c>
      <c r="H22" s="120" t="s">
        <v>126</v>
      </c>
      <c r="I22" s="255" t="s">
        <v>144</v>
      </c>
      <c r="J22" s="254"/>
    </row>
    <row r="23" spans="1:10" x14ac:dyDescent="0.25">
      <c r="A23" s="166" t="s">
        <v>118</v>
      </c>
      <c r="B23" s="167"/>
      <c r="C23" s="168"/>
      <c r="D23" s="169"/>
      <c r="E23" s="170"/>
      <c r="F23" s="147">
        <f>_xlfn.IFS($D$23="",0,$D$23="Yes",430,$D$23="No",0)</f>
        <v>0</v>
      </c>
      <c r="H23" s="120"/>
      <c r="I23" s="255"/>
      <c r="J23" s="254"/>
    </row>
    <row r="24" spans="1:10" ht="15" customHeight="1" x14ac:dyDescent="0.25">
      <c r="A24" s="225" t="s">
        <v>109</v>
      </c>
      <c r="B24" s="226"/>
      <c r="C24" s="227"/>
      <c r="D24" s="228"/>
      <c r="E24" s="229"/>
      <c r="F24" s="147">
        <f>IF(D24="", 0,VLOOKUP(D24,Data!A72:B78,2,FALSE))</f>
        <v>0</v>
      </c>
      <c r="H24" s="120" t="s">
        <v>126</v>
      </c>
      <c r="I24" s="254" t="s">
        <v>159</v>
      </c>
      <c r="J24" s="254"/>
    </row>
    <row r="25" spans="1:10" ht="15" customHeight="1" x14ac:dyDescent="0.25">
      <c r="A25" s="174"/>
      <c r="B25" s="175"/>
      <c r="C25" s="175"/>
      <c r="D25" s="175"/>
      <c r="E25" s="170"/>
      <c r="F25" s="110">
        <v>0</v>
      </c>
      <c r="H25" s="256" t="s">
        <v>162</v>
      </c>
      <c r="I25" s="257"/>
      <c r="J25" s="258"/>
    </row>
    <row r="26" spans="1:10" x14ac:dyDescent="0.25">
      <c r="A26" s="174"/>
      <c r="B26" s="175"/>
      <c r="C26" s="175"/>
      <c r="D26" s="175"/>
      <c r="E26" s="170"/>
      <c r="F26" s="110">
        <v>0</v>
      </c>
      <c r="H26" s="256"/>
      <c r="I26" s="257"/>
      <c r="J26" s="258"/>
    </row>
    <row r="27" spans="1:10" ht="15.75" customHeight="1" thickBot="1" x14ac:dyDescent="0.3">
      <c r="A27" s="176" t="s">
        <v>16</v>
      </c>
      <c r="B27" s="177"/>
      <c r="C27" s="177"/>
      <c r="D27" s="177"/>
      <c r="E27" s="177"/>
      <c r="F27" s="92">
        <f>SUM(F20:F26)</f>
        <v>0</v>
      </c>
      <c r="H27" s="259"/>
      <c r="I27" s="260"/>
      <c r="J27" s="261"/>
    </row>
    <row r="28" spans="1:10" ht="14.45" customHeight="1" thickTop="1" thickBot="1" x14ac:dyDescent="0.3">
      <c r="A28" s="178" t="s">
        <v>123</v>
      </c>
      <c r="B28" s="179"/>
      <c r="C28" s="179"/>
      <c r="D28" s="179"/>
      <c r="E28" s="179"/>
      <c r="F28" s="94">
        <f>SUM(F10,F16,F27)</f>
        <v>0</v>
      </c>
    </row>
    <row r="29" spans="1:10" ht="14.45" customHeight="1" x14ac:dyDescent="0.25">
      <c r="A29" s="4"/>
      <c r="B29" s="5"/>
      <c r="C29" s="5"/>
      <c r="D29" s="5"/>
      <c r="E29" s="5"/>
      <c r="F29" s="3"/>
      <c r="H29" s="262" t="s">
        <v>149</v>
      </c>
      <c r="I29" s="263"/>
      <c r="J29" s="264"/>
    </row>
    <row r="30" spans="1:10" ht="14.45" customHeight="1" x14ac:dyDescent="0.25">
      <c r="A30" s="171" t="s">
        <v>105</v>
      </c>
      <c r="B30" s="172"/>
      <c r="C30" s="172"/>
      <c r="D30" s="172"/>
      <c r="E30" s="172"/>
      <c r="F30" s="173"/>
      <c r="H30" s="117" t="s">
        <v>126</v>
      </c>
      <c r="I30" s="265" t="s">
        <v>150</v>
      </c>
      <c r="J30" s="265"/>
    </row>
    <row r="31" spans="1:10" ht="14.45" customHeight="1" x14ac:dyDescent="0.25">
      <c r="A31" s="180" t="s">
        <v>19</v>
      </c>
      <c r="B31" s="181"/>
      <c r="C31" s="181"/>
      <c r="D31" s="181"/>
      <c r="E31" s="83" t="s">
        <v>20</v>
      </c>
      <c r="F31" s="95" t="s">
        <v>106</v>
      </c>
      <c r="H31" s="117" t="s">
        <v>126</v>
      </c>
      <c r="I31" s="265" t="s">
        <v>151</v>
      </c>
      <c r="J31" s="265"/>
    </row>
    <row r="32" spans="1:10" ht="14.45" customHeight="1" x14ac:dyDescent="0.25">
      <c r="A32" s="162" t="s">
        <v>134</v>
      </c>
      <c r="B32" s="163"/>
      <c r="C32" s="164"/>
      <c r="D32" s="165"/>
      <c r="E32" s="148">
        <f>_xlfn.IFS(C32="",0,AND(C32="Distinguished Scholar", E5="In-State"), "Tuition Only",C32&lt;&gt;"", VLOOKUP(C32,Data!H4:I9,2,FALSE))</f>
        <v>0</v>
      </c>
      <c r="F32" s="96">
        <f>IF(E32=0,0, IF(AND(C32="Distinguished Scholar", E5="In-State"), (SUM(C7*D7,C8*D8)-(SUM(C7:C8)*Data!B10)),E32/2))</f>
        <v>0</v>
      </c>
      <c r="H32" s="121" t="s">
        <v>126</v>
      </c>
      <c r="I32" s="265" t="s">
        <v>152</v>
      </c>
      <c r="J32" s="265"/>
    </row>
    <row r="33" spans="1:10" ht="14.45" customHeight="1" x14ac:dyDescent="0.25">
      <c r="A33" s="162" t="s">
        <v>140</v>
      </c>
      <c r="B33" s="163"/>
      <c r="C33" s="164"/>
      <c r="D33" s="165"/>
      <c r="E33" s="148">
        <f>_xlfn.IFS(C33="",0,C33&lt;&gt;"",VLOOKUP(C33,Data!H12:I15,2,FALSE))</f>
        <v>0</v>
      </c>
      <c r="F33" s="96">
        <f>E33/2</f>
        <v>0</v>
      </c>
      <c r="H33" s="233" t="s">
        <v>153</v>
      </c>
      <c r="I33" s="234"/>
      <c r="J33" s="235"/>
    </row>
    <row r="34" spans="1:10" ht="15.75" customHeight="1" x14ac:dyDescent="0.25">
      <c r="A34" s="252"/>
      <c r="B34" s="253"/>
      <c r="C34" s="253"/>
      <c r="D34" s="165"/>
      <c r="E34" s="111">
        <v>0</v>
      </c>
      <c r="F34" s="96">
        <f t="shared" ref="F34:F35" si="0">IF(E34=0,0, E34/2)</f>
        <v>0</v>
      </c>
      <c r="H34" s="233"/>
      <c r="I34" s="234"/>
      <c r="J34" s="235"/>
    </row>
    <row r="35" spans="1:10" ht="14.45" customHeight="1" thickBot="1" x14ac:dyDescent="0.3">
      <c r="A35" s="252"/>
      <c r="B35" s="253"/>
      <c r="C35" s="253"/>
      <c r="D35" s="165"/>
      <c r="E35" s="112">
        <v>0</v>
      </c>
      <c r="F35" s="97">
        <f t="shared" si="0"/>
        <v>0</v>
      </c>
      <c r="H35" s="236"/>
      <c r="I35" s="237"/>
      <c r="J35" s="238"/>
    </row>
    <row r="36" spans="1:10" ht="14.45" customHeight="1" thickBot="1" x14ac:dyDescent="0.3">
      <c r="A36" s="158" t="str">
        <f>_xlfn.IFS(SUM(C7:C8)&lt;12,"You must be registered for 12 credits to receive most scholarships!", SUM(C7:C8)&gt;=12, "Learn more at www.coloradomesa.edu/financial-aid/scholarships")</f>
        <v>You must be registered for 12 credits to receive most scholarships!</v>
      </c>
      <c r="B36" s="159"/>
      <c r="C36" s="159"/>
      <c r="D36" s="159"/>
      <c r="E36" s="159"/>
      <c r="F36" s="98">
        <f>SUM(F32:F35)</f>
        <v>0</v>
      </c>
    </row>
    <row r="37" spans="1:10" ht="14.45" customHeight="1" thickTop="1" x14ac:dyDescent="0.25">
      <c r="A37" s="4"/>
      <c r="B37" s="75"/>
      <c r="C37" s="11"/>
      <c r="D37" s="11"/>
      <c r="E37" s="11"/>
      <c r="F37" s="99"/>
      <c r="H37" s="239" t="s">
        <v>154</v>
      </c>
      <c r="I37" s="240"/>
      <c r="J37" s="241"/>
    </row>
    <row r="38" spans="1:10" ht="14.45" customHeight="1" x14ac:dyDescent="0.25">
      <c r="A38" s="180" t="s">
        <v>110</v>
      </c>
      <c r="B38" s="181"/>
      <c r="C38" s="181"/>
      <c r="D38" s="181"/>
      <c r="E38" s="83" t="s">
        <v>20</v>
      </c>
      <c r="F38" s="95" t="s">
        <v>106</v>
      </c>
      <c r="H38" s="122" t="s">
        <v>126</v>
      </c>
      <c r="I38" s="242" t="s">
        <v>155</v>
      </c>
      <c r="J38" s="242"/>
    </row>
    <row r="39" spans="1:10" ht="14.45" customHeight="1" x14ac:dyDescent="0.25">
      <c r="A39" s="206" t="s">
        <v>22</v>
      </c>
      <c r="B39" s="207"/>
      <c r="C39" s="207"/>
      <c r="D39" s="208"/>
      <c r="E39" s="113">
        <v>0</v>
      </c>
      <c r="F39" s="96">
        <f>IF(E39=0,0,(E39/2)*0.98943)</f>
        <v>0</v>
      </c>
      <c r="H39" s="122"/>
      <c r="I39" s="242"/>
      <c r="J39" s="242"/>
    </row>
    <row r="40" spans="1:10" ht="15" customHeight="1" x14ac:dyDescent="0.25">
      <c r="A40" s="206" t="s">
        <v>23</v>
      </c>
      <c r="B40" s="207"/>
      <c r="C40" s="207"/>
      <c r="D40" s="208"/>
      <c r="E40" s="113">
        <v>0</v>
      </c>
      <c r="F40" s="96">
        <f>IF(E40=0,0,(E40/2)*0.98943)</f>
        <v>0</v>
      </c>
      <c r="H40" s="243" t="s">
        <v>158</v>
      </c>
      <c r="I40" s="244"/>
      <c r="J40" s="245"/>
    </row>
    <row r="41" spans="1:10" ht="14.45" customHeight="1" x14ac:dyDescent="0.25">
      <c r="A41" s="206" t="s">
        <v>24</v>
      </c>
      <c r="B41" s="207"/>
      <c r="C41" s="207"/>
      <c r="D41" s="208"/>
      <c r="E41" s="113">
        <v>0</v>
      </c>
      <c r="F41" s="96">
        <f>_xlfn.IFS(E41=0,0,E41&lt;&gt;"",(E41/2)*0.95772)</f>
        <v>0</v>
      </c>
      <c r="H41" s="243"/>
      <c r="I41" s="244"/>
      <c r="J41" s="245"/>
    </row>
    <row r="42" spans="1:10" ht="14.45" customHeight="1" thickBot="1" x14ac:dyDescent="0.3">
      <c r="A42" s="158" t="s">
        <v>156</v>
      </c>
      <c r="B42" s="159"/>
      <c r="C42" s="159"/>
      <c r="D42" s="159"/>
      <c r="E42" s="86" t="s">
        <v>112</v>
      </c>
      <c r="F42" s="100">
        <f>SUM(F39:F41)</f>
        <v>0</v>
      </c>
      <c r="H42" s="246"/>
      <c r="I42" s="247"/>
      <c r="J42" s="248"/>
    </row>
    <row r="43" spans="1:10" ht="14.45" customHeight="1" thickTop="1" thickBot="1" x14ac:dyDescent="0.3">
      <c r="A43" s="101"/>
      <c r="B43" s="5"/>
      <c r="C43" s="12"/>
      <c r="D43" s="12"/>
      <c r="E43" s="13"/>
      <c r="F43" s="99"/>
    </row>
    <row r="44" spans="1:10" ht="14.45" customHeight="1" x14ac:dyDescent="0.25">
      <c r="A44" s="180" t="s">
        <v>27</v>
      </c>
      <c r="B44" s="181"/>
      <c r="C44" s="181"/>
      <c r="D44" s="181"/>
      <c r="E44" s="83" t="s">
        <v>20</v>
      </c>
      <c r="F44" s="95" t="s">
        <v>106</v>
      </c>
      <c r="H44" s="249" t="s">
        <v>181</v>
      </c>
      <c r="I44" s="250"/>
      <c r="J44" s="251"/>
    </row>
    <row r="45" spans="1:10" ht="14.45" customHeight="1" x14ac:dyDescent="0.25">
      <c r="A45" s="209" t="s">
        <v>157</v>
      </c>
      <c r="B45" s="204"/>
      <c r="C45" s="204"/>
      <c r="D45" s="205"/>
      <c r="E45" s="115">
        <v>0</v>
      </c>
      <c r="F45" s="96">
        <f>IF(E45=0,0,ROUNDUP((E45*Data!L28)/2,0))</f>
        <v>0</v>
      </c>
      <c r="H45" s="109" t="s">
        <v>126</v>
      </c>
      <c r="I45" s="277" t="s">
        <v>182</v>
      </c>
      <c r="J45" s="277"/>
    </row>
    <row r="46" spans="1:10" ht="15" customHeight="1" x14ac:dyDescent="0.25">
      <c r="A46" s="203" t="s">
        <v>183</v>
      </c>
      <c r="B46" s="204"/>
      <c r="C46" s="204"/>
      <c r="D46" s="205"/>
      <c r="E46" s="115">
        <v>0</v>
      </c>
      <c r="F46" s="96">
        <f>IF(SUM(C7:C8)&lt;12,0,IF(E46=0,0,E46/2))</f>
        <v>0</v>
      </c>
      <c r="H46" s="109" t="s">
        <v>126</v>
      </c>
      <c r="I46" s="277" t="s">
        <v>184</v>
      </c>
      <c r="J46" s="277"/>
    </row>
    <row r="47" spans="1:10" ht="14.45" customHeight="1" x14ac:dyDescent="0.25">
      <c r="A47" s="200"/>
      <c r="B47" s="201"/>
      <c r="C47" s="201"/>
      <c r="D47" s="202"/>
      <c r="E47" s="115">
        <v>0</v>
      </c>
      <c r="F47" s="96">
        <f>IF(E47=0,0,E47/2)</f>
        <v>0</v>
      </c>
      <c r="H47" s="109" t="s">
        <v>126</v>
      </c>
      <c r="I47" s="277" t="s">
        <v>185</v>
      </c>
      <c r="J47" s="277"/>
    </row>
    <row r="48" spans="1:10" ht="14.45" customHeight="1" thickBot="1" x14ac:dyDescent="0.3">
      <c r="A48" s="158" t="str">
        <f>_xlfn.IFS(SUM(C7:C8)&lt;12,"You must be registered for 12 credits to receive CSG, SEOG, and most grants!", SUM(C7:C8)&gt;=12, "")</f>
        <v>You must be registered for 12 credits to receive CSG, SEOG, and most grants!</v>
      </c>
      <c r="B48" s="159"/>
      <c r="C48" s="159"/>
      <c r="D48" s="159"/>
      <c r="E48" s="149" t="s">
        <v>111</v>
      </c>
      <c r="F48" s="98">
        <f>SUM(F45:F47)</f>
        <v>0</v>
      </c>
      <c r="H48" s="278" t="s">
        <v>186</v>
      </c>
      <c r="I48" s="279"/>
      <c r="J48" s="280"/>
    </row>
    <row r="49" spans="1:10" ht="14.45" customHeight="1" thickTop="1" x14ac:dyDescent="0.25">
      <c r="A49" s="102"/>
      <c r="B49" s="5"/>
      <c r="C49" s="10"/>
      <c r="D49" s="11"/>
      <c r="E49" s="17"/>
      <c r="F49" s="99"/>
      <c r="H49" s="278"/>
      <c r="I49" s="279"/>
      <c r="J49" s="280"/>
    </row>
    <row r="50" spans="1:10" ht="14.45" customHeight="1" thickBot="1" x14ac:dyDescent="0.3">
      <c r="A50" s="180" t="s">
        <v>21</v>
      </c>
      <c r="B50" s="181"/>
      <c r="C50" s="181"/>
      <c r="D50" s="181"/>
      <c r="E50" s="83" t="s">
        <v>20</v>
      </c>
      <c r="F50" s="95" t="s">
        <v>106</v>
      </c>
      <c r="H50" s="281"/>
      <c r="I50" s="282"/>
      <c r="J50" s="283"/>
    </row>
    <row r="51" spans="1:10" ht="14.45" customHeight="1" thickBot="1" x14ac:dyDescent="0.3">
      <c r="A51" s="197"/>
      <c r="B51" s="198"/>
      <c r="C51" s="198"/>
      <c r="D51" s="199"/>
      <c r="E51" s="116">
        <v>0</v>
      </c>
      <c r="F51" s="96">
        <f>IF(E51=0,0,E51/2)</f>
        <v>0</v>
      </c>
    </row>
    <row r="52" spans="1:10" ht="16.5" customHeight="1" x14ac:dyDescent="0.25">
      <c r="A52" s="197"/>
      <c r="B52" s="198"/>
      <c r="C52" s="198"/>
      <c r="D52" s="199"/>
      <c r="E52" s="116">
        <v>0</v>
      </c>
      <c r="F52" s="96">
        <f>IF(E52=0,0,E52/2)</f>
        <v>0</v>
      </c>
      <c r="H52" s="284" t="s">
        <v>187</v>
      </c>
      <c r="I52" s="285"/>
      <c r="J52" s="286"/>
    </row>
    <row r="53" spans="1:10" ht="15.75" customHeight="1" thickBot="1" x14ac:dyDescent="0.3">
      <c r="A53" s="192" t="s">
        <v>29</v>
      </c>
      <c r="B53" s="193"/>
      <c r="C53" s="193"/>
      <c r="D53" s="193"/>
      <c r="E53" s="193"/>
      <c r="F53" s="103">
        <f>SUM(F51:F52)</f>
        <v>0</v>
      </c>
      <c r="H53" s="139" t="s">
        <v>126</v>
      </c>
      <c r="I53" s="268" t="s">
        <v>188</v>
      </c>
      <c r="J53" s="269"/>
    </row>
    <row r="54" spans="1:10" ht="14.45" customHeight="1" thickTop="1" thickBot="1" x14ac:dyDescent="0.3">
      <c r="A54" s="178" t="s">
        <v>28</v>
      </c>
      <c r="B54" s="179"/>
      <c r="C54" s="179"/>
      <c r="D54" s="179"/>
      <c r="E54" s="179"/>
      <c r="F54" s="94">
        <f>SUM(F36,F42,F48,F53)</f>
        <v>0</v>
      </c>
      <c r="H54" s="140"/>
      <c r="I54" s="270"/>
      <c r="J54" s="271"/>
    </row>
    <row r="55" spans="1:10" ht="17.25" customHeight="1" thickBot="1" x14ac:dyDescent="0.3">
      <c r="A55" s="4"/>
      <c r="B55" s="5"/>
      <c r="C55" s="5"/>
      <c r="D55" s="5"/>
      <c r="E55" s="5"/>
      <c r="F55" s="3"/>
    </row>
    <row r="56" spans="1:10" ht="15.75" x14ac:dyDescent="0.25">
      <c r="A56" s="171" t="s">
        <v>98</v>
      </c>
      <c r="B56" s="172"/>
      <c r="C56" s="172"/>
      <c r="D56" s="172"/>
      <c r="E56" s="172"/>
      <c r="F56" s="173"/>
      <c r="H56" s="272" t="s">
        <v>189</v>
      </c>
      <c r="I56" s="273"/>
      <c r="J56" s="274"/>
    </row>
    <row r="57" spans="1:10" x14ac:dyDescent="0.25">
      <c r="A57" s="190" t="str">
        <f>IF(F57&lt;=0, "Approximate refund", "Amount I will still owe after financial aid has paid")</f>
        <v>Approximate refund</v>
      </c>
      <c r="B57" s="191"/>
      <c r="C57" s="191"/>
      <c r="D57" s="191"/>
      <c r="E57" s="191"/>
      <c r="F57" s="104">
        <f>F28-F54</f>
        <v>0</v>
      </c>
      <c r="H57" s="42" t="s">
        <v>126</v>
      </c>
      <c r="I57" s="275" t="s">
        <v>192</v>
      </c>
      <c r="J57" s="3"/>
    </row>
    <row r="58" spans="1:10" ht="14.45" customHeight="1" x14ac:dyDescent="0.25">
      <c r="A58" s="4"/>
      <c r="B58" s="5"/>
      <c r="C58" s="5"/>
      <c r="D58" s="5"/>
      <c r="E58" s="5"/>
      <c r="F58" s="3"/>
      <c r="H58" s="42"/>
      <c r="I58" s="275"/>
      <c r="J58" s="3"/>
    </row>
    <row r="59" spans="1:10" ht="14.45" customHeight="1" x14ac:dyDescent="0.25">
      <c r="A59" s="171" t="s">
        <v>107</v>
      </c>
      <c r="B59" s="172"/>
      <c r="C59" s="172"/>
      <c r="D59" s="172"/>
      <c r="E59" s="172"/>
      <c r="F59" s="173"/>
      <c r="H59" s="42" t="s">
        <v>126</v>
      </c>
      <c r="I59" s="275" t="s">
        <v>193</v>
      </c>
      <c r="J59" s="3"/>
    </row>
    <row r="60" spans="1:10" ht="14.45" customHeight="1" x14ac:dyDescent="0.25">
      <c r="A60" s="194" t="s">
        <v>99</v>
      </c>
      <c r="B60" s="194"/>
      <c r="C60" s="145" t="s">
        <v>33</v>
      </c>
      <c r="D60" s="188" t="s">
        <v>113</v>
      </c>
      <c r="E60" s="188"/>
      <c r="F60" s="189"/>
      <c r="H60" s="42"/>
      <c r="I60" s="275"/>
      <c r="J60" s="3"/>
    </row>
    <row r="61" spans="1:10" ht="14.45" customHeight="1" x14ac:dyDescent="0.25">
      <c r="A61" s="195" t="s">
        <v>30</v>
      </c>
      <c r="B61" s="196"/>
      <c r="C61" s="76" t="str">
        <f>IF(F57&gt;0, _xlfn.IFS(Data!H59&lt;Data!B59,F57/Data!B60, Data!H59&lt;Data!C59,F57/Data!C60,Data!H59&lt;Data!D59,F57/Data!D60,Data!H59&gt;Data!G59, "Past Deadline"), "N/A")</f>
        <v>N/A</v>
      </c>
      <c r="D61" s="188"/>
      <c r="E61" s="188"/>
      <c r="F61" s="189"/>
      <c r="H61" s="42"/>
      <c r="I61" s="275"/>
      <c r="J61" s="3"/>
    </row>
    <row r="62" spans="1:10" x14ac:dyDescent="0.25">
      <c r="A62" s="195" t="s">
        <v>31</v>
      </c>
      <c r="B62" s="196"/>
      <c r="C62" s="76" t="str">
        <f>IF(F57&gt;0,_xlfn.IFS(Data!H59&lt;Data!B61,F57/Data!B62, Data!H59&lt;Data!C61,F57/Data!C62,Data!H59&lt;Data!D61,F57/Data!D62, Data!H59&lt;Data!E61, F57/Data!E62,Data!H59&lt;Data!F61, F57/Data!F62, Data!H59&lt;Data!G61, F57/Data!G62, Data!H59&gt;Data!G59, "Past Deadline"), "N/A")</f>
        <v>N/A</v>
      </c>
      <c r="D62" s="184" t="s">
        <v>114</v>
      </c>
      <c r="E62" s="184"/>
      <c r="F62" s="185"/>
      <c r="H62" s="42" t="s">
        <v>126</v>
      </c>
      <c r="I62" s="275" t="s">
        <v>194</v>
      </c>
      <c r="J62" s="3"/>
    </row>
    <row r="63" spans="1:10" ht="15.75" thickBot="1" x14ac:dyDescent="0.3">
      <c r="A63" s="182" t="s">
        <v>32</v>
      </c>
      <c r="B63" s="183"/>
      <c r="C63" s="105" t="str">
        <f>IF(F57&gt;0,_xlfn.IFS(Data!H59&lt;Data!B63,F57/Data!B64, Data!H59&lt;Data!C63,F57/Data!C64,Data!H59&lt;Data!D63,F57/Data!D64, Data!H59&lt;Data!E63, F57/Data!E64,Data!H59&lt; Data!F63, F57/Data!F64, Data!H59&lt;Data!G63, F57/Data!G64, Data!H59&lt;Data!H59, F57/Data!H59, Data!H59&lt;Data!H59, F57/Data!H59,Data!H59&lt;Data!H59, F57/Data!H59, Data!H59&lt;Data!H59, F57/Data!H59, Data!H59&lt;Data!H63, F57/Data!H64, Data!H59&lt;Data!I63, F57/Data!I64, Data!H59&lt;Data!J63, F57/Data!J64, Data!H59&gt;Data!G59, "Past Deadline"), "N/A")</f>
        <v>N/A</v>
      </c>
      <c r="D63" s="186" t="s">
        <v>115</v>
      </c>
      <c r="E63" s="186"/>
      <c r="F63" s="187"/>
      <c r="H63" s="141"/>
      <c r="I63" s="276"/>
      <c r="J63" s="2"/>
    </row>
  </sheetData>
  <sheetProtection algorithmName="SHA-512" hashValue="06wzxGsx8cB2tXV1dQZTkWBExH1Gw7GMxtn4xCkX4XmIQfJdxtjikV6RHJehulrFw5KK7P34Wnv+b5Pa+zZCUg==" saltValue="ZdO6liv+hIH+bMKseEWSUg==" spinCount="100000" sheet="1" selectLockedCells="1"/>
  <protectedRanges>
    <protectedRange sqref="E5" name="Tuition Classification"/>
    <protectedRange sqref="C7:C9" name="Tuition and Fees"/>
    <protectedRange sqref="B14:C15" name="Dorm MealPlan"/>
    <protectedRange sqref="D20:E24" name="First Semester and Parking"/>
    <protectedRange sqref="D21:E24 A25:F26 F20" name="Other Expenses"/>
    <protectedRange sqref="C32:D33 A34:E35" name="Scholarships"/>
    <protectedRange sqref="E39:E41" name="Loans"/>
    <protectedRange sqref="E45:E47 A47" name="Grants"/>
    <protectedRange sqref="A51:E52" name="FamilyContr"/>
    <protectedRange sqref="B2 F2" name="Name_ID"/>
  </protectedRanges>
  <mergeCells count="101">
    <mergeCell ref="H1:J1"/>
    <mergeCell ref="H2:J2"/>
    <mergeCell ref="A48:D48"/>
    <mergeCell ref="I53:J54"/>
    <mergeCell ref="H56:J56"/>
    <mergeCell ref="I57:I58"/>
    <mergeCell ref="I59:I61"/>
    <mergeCell ref="I62:I63"/>
    <mergeCell ref="I45:J45"/>
    <mergeCell ref="I46:J46"/>
    <mergeCell ref="I47:J47"/>
    <mergeCell ref="H48:J50"/>
    <mergeCell ref="H52:J52"/>
    <mergeCell ref="H4:J4"/>
    <mergeCell ref="I5:J5"/>
    <mergeCell ref="I6:J6"/>
    <mergeCell ref="I7:J7"/>
    <mergeCell ref="I8:J8"/>
    <mergeCell ref="I9:J9"/>
    <mergeCell ref="H10:J11"/>
    <mergeCell ref="H13:J13"/>
    <mergeCell ref="I14:J14"/>
    <mergeCell ref="I15:J16"/>
    <mergeCell ref="H18:J18"/>
    <mergeCell ref="I19:J19"/>
    <mergeCell ref="I24:J24"/>
    <mergeCell ref="I20:J21"/>
    <mergeCell ref="I22:J23"/>
    <mergeCell ref="H25:J27"/>
    <mergeCell ref="H29:J29"/>
    <mergeCell ref="I30:J30"/>
    <mergeCell ref="I31:J31"/>
    <mergeCell ref="I32:J32"/>
    <mergeCell ref="H33:J35"/>
    <mergeCell ref="H37:J37"/>
    <mergeCell ref="I38:J39"/>
    <mergeCell ref="H40:J42"/>
    <mergeCell ref="H44:J44"/>
    <mergeCell ref="A34:D34"/>
    <mergeCell ref="A35:D35"/>
    <mergeCell ref="A36:E36"/>
    <mergeCell ref="A38:D38"/>
    <mergeCell ref="A39:D39"/>
    <mergeCell ref="A42:D42"/>
    <mergeCell ref="A40:D40"/>
    <mergeCell ref="A52:D52"/>
    <mergeCell ref="A51:D51"/>
    <mergeCell ref="A47:D47"/>
    <mergeCell ref="A46:D46"/>
    <mergeCell ref="A44:D44"/>
    <mergeCell ref="A41:D41"/>
    <mergeCell ref="A45:D45"/>
    <mergeCell ref="A1:F1"/>
    <mergeCell ref="B2:C2"/>
    <mergeCell ref="A4:F4"/>
    <mergeCell ref="A7:B7"/>
    <mergeCell ref="A8:B8"/>
    <mergeCell ref="E5:F5"/>
    <mergeCell ref="A5:C5"/>
    <mergeCell ref="A6:B6"/>
    <mergeCell ref="A50:D50"/>
    <mergeCell ref="A18:F18"/>
    <mergeCell ref="A19:E19"/>
    <mergeCell ref="A21:C21"/>
    <mergeCell ref="A24:C24"/>
    <mergeCell ref="D21:E21"/>
    <mergeCell ref="D24:E24"/>
    <mergeCell ref="A20:E20"/>
    <mergeCell ref="A16:C16"/>
    <mergeCell ref="A63:B63"/>
    <mergeCell ref="D62:F62"/>
    <mergeCell ref="D63:F63"/>
    <mergeCell ref="D60:F61"/>
    <mergeCell ref="A54:E54"/>
    <mergeCell ref="A59:F59"/>
    <mergeCell ref="A56:F56"/>
    <mergeCell ref="A57:E57"/>
    <mergeCell ref="A53:E53"/>
    <mergeCell ref="A60:B60"/>
    <mergeCell ref="A61:B61"/>
    <mergeCell ref="A62:B62"/>
    <mergeCell ref="A12:F12"/>
    <mergeCell ref="B14:C14"/>
    <mergeCell ref="B15:C15"/>
    <mergeCell ref="A9:B9"/>
    <mergeCell ref="A10:D10"/>
    <mergeCell ref="A13:C13"/>
    <mergeCell ref="A32:B32"/>
    <mergeCell ref="C32:D32"/>
    <mergeCell ref="A33:B33"/>
    <mergeCell ref="C33:D33"/>
    <mergeCell ref="A22:C22"/>
    <mergeCell ref="D22:E22"/>
    <mergeCell ref="A30:F30"/>
    <mergeCell ref="A23:C23"/>
    <mergeCell ref="D23:E23"/>
    <mergeCell ref="A26:E26"/>
    <mergeCell ref="A27:E27"/>
    <mergeCell ref="A28:E28"/>
    <mergeCell ref="A31:D31"/>
    <mergeCell ref="A25:E25"/>
  </mergeCells>
  <conditionalFormatting sqref="A57">
    <cfRule type="containsText" dxfId="5" priority="20" operator="containsText" text="Total amount due after FPA">
      <formula>NOT(ISERROR(SEARCH("Total amount due after FPA",A57)))</formula>
    </cfRule>
    <cfRule type="containsText" dxfId="4" priority="22" operator="containsText" text="Approximate Refund">
      <formula>NOT(ISERROR(SEARCH("Approximate Refund",A57)))</formula>
    </cfRule>
  </conditionalFormatting>
  <conditionalFormatting sqref="F57">
    <cfRule type="cellIs" dxfId="3" priority="2" operator="equal">
      <formula>0</formula>
    </cfRule>
    <cfRule type="cellIs" dxfId="2" priority="19" operator="greaterThan">
      <formula>0</formula>
    </cfRule>
    <cfRule type="cellIs" dxfId="1" priority="21" operator="lessThan">
      <formula>0</formula>
    </cfRule>
  </conditionalFormatting>
  <conditionalFormatting sqref="A57">
    <cfRule type="containsText" dxfId="0" priority="5" operator="containsText" text="I will still owe">
      <formula>NOT(ISERROR(SEARCH("I will still owe",A57)))</formula>
    </cfRule>
  </conditionalFormatting>
  <dataValidations count="3">
    <dataValidation type="list" allowBlank="1" showInputMessage="1" showErrorMessage="1" sqref="C9" xr:uid="{00000000-0002-0000-0000-000000000000}">
      <formula1>"Yes,No"</formula1>
    </dataValidation>
    <dataValidation type="list" allowBlank="1" showInputMessage="1" showErrorMessage="1" sqref="D23:E23 D21:D22" xr:uid="{AE600DF0-AC00-4E2F-B533-88568A7A5CBE}">
      <formula1>"Yes, No"</formula1>
    </dataValidation>
    <dataValidation type="list" allowBlank="1" showInputMessage="1" showErrorMessage="1" sqref="B15:C15" xr:uid="{C32565AC-25E8-4158-BBEF-64467600DADE}">
      <formula1>"Meal Plan A, Meal Plan B, None"</formula1>
    </dataValidation>
  </dataValidations>
  <pageMargins left="0.25" right="0.25" top="0.25" bottom="0.25" header="0.3" footer="0.3"/>
  <pageSetup fitToWidth="0" orientation="portrait" r:id="rId1"/>
  <ignoredErrors>
    <ignoredError sqref="F23:F24 F21:F2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57241CD-E12E-4E85-A9E0-546F50EF86EE}">
          <x14:formula1>
            <xm:f>Data!$A$15:$A$39</xm:f>
          </x14:formula1>
          <xm:sqref>B14:C14</xm:sqref>
        </x14:dataValidation>
        <x14:dataValidation type="list" allowBlank="1" showInputMessage="1" showErrorMessage="1" xr:uid="{E39121F5-AE8F-4953-B77B-6789DBC57763}">
          <x14:formula1>
            <xm:f>Data!$H$4:$H$9</xm:f>
          </x14:formula1>
          <xm:sqref>C32:D32</xm:sqref>
        </x14:dataValidation>
        <x14:dataValidation type="list" allowBlank="1" showInputMessage="1" showErrorMessage="1" xr:uid="{90498A5A-918A-4ABC-BC55-E01D5AC9F87B}">
          <x14:formula1>
            <xm:f>Data!$A$5:$A$8</xm:f>
          </x14:formula1>
          <xm:sqref>E5:F5</xm:sqref>
        </x14:dataValidation>
        <x14:dataValidation type="list" allowBlank="1" showInputMessage="1" showErrorMessage="1" xr:uid="{09DA3ED2-2843-4BF0-ADAF-90B4864CA6ED}">
          <x14:formula1>
            <xm:f>Data!$A$72:$A$78</xm:f>
          </x14:formula1>
          <xm:sqref>D24:E24</xm:sqref>
        </x14:dataValidation>
        <x14:dataValidation type="list" allowBlank="1" showInputMessage="1" showErrorMessage="1" xr:uid="{BE66FE6C-2131-4B9D-89DA-1174E9ADAC3B}">
          <x14:formula1>
            <xm:f>Data!$H$12:$H$15</xm:f>
          </x14:formula1>
          <xm:sqref>C33:D33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2"/>
  <sheetViews>
    <sheetView zoomScale="90" zoomScaleNormal="90" workbookViewId="0">
      <selection activeCell="H37" sqref="H37"/>
    </sheetView>
  </sheetViews>
  <sheetFormatPr defaultRowHeight="15" x14ac:dyDescent="0.25"/>
  <cols>
    <col min="1" max="1" width="35.140625" customWidth="1"/>
    <col min="2" max="2" width="17.28515625" customWidth="1"/>
    <col min="3" max="3" width="21.7109375" bestFit="1" customWidth="1"/>
    <col min="4" max="4" width="11.140625" bestFit="1" customWidth="1"/>
    <col min="5" max="5" width="12.7109375" bestFit="1" customWidth="1"/>
    <col min="6" max="6" width="12.85546875" customWidth="1"/>
    <col min="7" max="7" width="14.140625" bestFit="1" customWidth="1"/>
    <col min="8" max="8" width="23.85546875" customWidth="1"/>
    <col min="9" max="9" width="12.42578125" customWidth="1"/>
    <col min="10" max="10" width="12.85546875" customWidth="1"/>
    <col min="11" max="11" width="12.5703125" customWidth="1"/>
    <col min="12" max="13" width="16.5703125" customWidth="1"/>
    <col min="14" max="14" width="10.7109375" bestFit="1" customWidth="1"/>
    <col min="15" max="15" width="14.5703125" customWidth="1"/>
    <col min="16" max="16" width="9.7109375" bestFit="1" customWidth="1"/>
    <col min="17" max="17" width="10.7109375" bestFit="1" customWidth="1"/>
  </cols>
  <sheetData>
    <row r="1" spans="1:9" x14ac:dyDescent="0.25">
      <c r="A1" s="1" t="s">
        <v>34</v>
      </c>
    </row>
    <row r="2" spans="1:9" ht="15.75" thickBot="1" x14ac:dyDescent="0.3"/>
    <row r="3" spans="1:9" x14ac:dyDescent="0.25">
      <c r="A3" s="272" t="s">
        <v>2</v>
      </c>
      <c r="B3" s="274"/>
      <c r="C3" s="21"/>
      <c r="D3" s="272" t="s">
        <v>35</v>
      </c>
      <c r="E3" s="273"/>
      <c r="F3" s="274"/>
      <c r="H3" s="28" t="s">
        <v>133</v>
      </c>
      <c r="I3" s="123" t="s">
        <v>176</v>
      </c>
    </row>
    <row r="4" spans="1:9" x14ac:dyDescent="0.25">
      <c r="A4" s="4"/>
      <c r="B4" s="22" t="s">
        <v>36</v>
      </c>
      <c r="D4" s="9" t="s">
        <v>37</v>
      </c>
      <c r="E4" s="5" t="s">
        <v>38</v>
      </c>
      <c r="F4" s="3" t="s">
        <v>39</v>
      </c>
      <c r="H4" s="4" t="s">
        <v>135</v>
      </c>
      <c r="I4" s="3">
        <v>6000</v>
      </c>
    </row>
    <row r="5" spans="1:9" x14ac:dyDescent="0.25">
      <c r="A5" s="4" t="s">
        <v>40</v>
      </c>
      <c r="B5" s="22">
        <v>391.86349999999999</v>
      </c>
      <c r="C5" s="150"/>
      <c r="D5" s="4" t="s">
        <v>26</v>
      </c>
      <c r="E5" s="5" t="s">
        <v>9</v>
      </c>
      <c r="F5" s="3"/>
      <c r="H5" s="4" t="s">
        <v>136</v>
      </c>
      <c r="I5" s="3">
        <v>3500</v>
      </c>
    </row>
    <row r="6" spans="1:9" x14ac:dyDescent="0.25">
      <c r="A6" s="4" t="s">
        <v>41</v>
      </c>
      <c r="B6" s="22">
        <v>785.06600000000003</v>
      </c>
      <c r="C6" s="150"/>
      <c r="D6" s="4" t="s">
        <v>9</v>
      </c>
      <c r="E6" s="5"/>
      <c r="F6" s="3"/>
      <c r="H6" s="4" t="s">
        <v>137</v>
      </c>
      <c r="I6" s="3">
        <v>1250</v>
      </c>
    </row>
    <row r="7" spans="1:9" x14ac:dyDescent="0.25">
      <c r="A7" s="4" t="s">
        <v>42</v>
      </c>
      <c r="B7" s="22">
        <v>456.18700000000001</v>
      </c>
      <c r="C7" s="150"/>
      <c r="D7" s="4"/>
      <c r="E7" s="5"/>
      <c r="F7" s="3"/>
      <c r="H7" s="4" t="s">
        <v>138</v>
      </c>
      <c r="I7" s="3">
        <v>2000</v>
      </c>
    </row>
    <row r="8" spans="1:9" ht="15.75" thickBot="1" x14ac:dyDescent="0.3">
      <c r="A8" s="4" t="s">
        <v>143</v>
      </c>
      <c r="B8" s="23">
        <v>456.18700000000001</v>
      </c>
      <c r="C8" s="150"/>
      <c r="D8" s="6" t="e">
        <f>IF('[1]Fall to Spring-FPA Projected'!C8:E8="In-State","In_State",IF('[1]Fall to Spring-FPA Projected'!C8:E8="","Blank","Out_of_State"))</f>
        <v>#REF!</v>
      </c>
      <c r="E8" s="7"/>
      <c r="F8" s="2"/>
      <c r="H8" s="4" t="s">
        <v>139</v>
      </c>
      <c r="I8" s="3">
        <v>1000</v>
      </c>
    </row>
    <row r="9" spans="1:9" ht="15.75" thickBot="1" x14ac:dyDescent="0.3">
      <c r="A9" s="4" t="s">
        <v>7</v>
      </c>
      <c r="B9" s="23">
        <v>412</v>
      </c>
      <c r="C9" s="150"/>
      <c r="D9" s="5"/>
      <c r="E9" s="5"/>
      <c r="F9" s="5"/>
      <c r="G9" s="5"/>
      <c r="H9" s="6" t="s">
        <v>89</v>
      </c>
      <c r="I9" s="2">
        <v>0</v>
      </c>
    </row>
    <row r="10" spans="1:9" ht="15.75" thickBot="1" x14ac:dyDescent="0.3">
      <c r="A10" s="4" t="s">
        <v>35</v>
      </c>
      <c r="B10" s="23">
        <v>94</v>
      </c>
      <c r="D10" s="5"/>
      <c r="E10" s="5"/>
      <c r="F10" s="5"/>
    </row>
    <row r="11" spans="1:9" ht="15.75" thickBot="1" x14ac:dyDescent="0.3">
      <c r="A11" s="15" t="s">
        <v>4</v>
      </c>
      <c r="B11" s="24">
        <v>35</v>
      </c>
      <c r="D11" s="5"/>
      <c r="E11" s="5"/>
      <c r="F11" s="5"/>
      <c r="H11" s="28" t="s">
        <v>177</v>
      </c>
      <c r="I11" s="123" t="s">
        <v>176</v>
      </c>
    </row>
    <row r="12" spans="1:9" ht="15.75" thickBot="1" x14ac:dyDescent="0.3">
      <c r="H12" s="4" t="s">
        <v>141</v>
      </c>
      <c r="I12" s="3">
        <v>1000</v>
      </c>
    </row>
    <row r="13" spans="1:9" ht="15.75" thickBot="1" x14ac:dyDescent="0.3">
      <c r="A13" s="272" t="s">
        <v>43</v>
      </c>
      <c r="B13" s="273"/>
      <c r="C13" s="273"/>
      <c r="D13" s="8"/>
      <c r="H13" s="4" t="s">
        <v>142</v>
      </c>
      <c r="I13" s="3">
        <v>1000</v>
      </c>
    </row>
    <row r="14" spans="1:9" x14ac:dyDescent="0.25">
      <c r="A14" s="4"/>
      <c r="B14" s="25" t="s">
        <v>44</v>
      </c>
      <c r="C14" s="25" t="s">
        <v>45</v>
      </c>
      <c r="D14" s="3"/>
      <c r="H14" s="38" t="s">
        <v>89</v>
      </c>
      <c r="I14" s="8">
        <v>0</v>
      </c>
    </row>
    <row r="15" spans="1:9" ht="15.75" thickBot="1" x14ac:dyDescent="0.3">
      <c r="A15" s="4" t="s">
        <v>100</v>
      </c>
      <c r="B15" s="26">
        <v>11295</v>
      </c>
      <c r="C15" s="26">
        <v>5647</v>
      </c>
      <c r="D15" s="3"/>
      <c r="E15" t="s">
        <v>46</v>
      </c>
      <c r="H15" s="15" t="s">
        <v>195</v>
      </c>
      <c r="I15" s="151">
        <v>2000</v>
      </c>
    </row>
    <row r="16" spans="1:9" ht="15" customHeight="1" x14ac:dyDescent="0.25">
      <c r="A16" s="4" t="s">
        <v>47</v>
      </c>
      <c r="B16" s="26">
        <v>7400</v>
      </c>
      <c r="C16" s="26">
        <v>3700</v>
      </c>
      <c r="D16" s="3"/>
      <c r="E16" t="s">
        <v>6</v>
      </c>
    </row>
    <row r="17" spans="1:15" ht="15" customHeight="1" thickBot="1" x14ac:dyDescent="0.3">
      <c r="A17" s="4" t="s">
        <v>48</v>
      </c>
      <c r="B17" s="26">
        <v>9200</v>
      </c>
      <c r="C17" s="26">
        <v>4600</v>
      </c>
      <c r="D17" s="3"/>
    </row>
    <row r="18" spans="1:15" ht="15" customHeight="1" x14ac:dyDescent="0.25">
      <c r="A18" s="4" t="s">
        <v>49</v>
      </c>
      <c r="B18" s="26">
        <v>10250</v>
      </c>
      <c r="C18" s="26">
        <v>5125</v>
      </c>
      <c r="D18" s="3"/>
      <c r="H18" s="308" t="s">
        <v>164</v>
      </c>
      <c r="I18" s="309"/>
      <c r="J18" s="309"/>
      <c r="K18" s="309"/>
      <c r="L18" s="309"/>
      <c r="M18" s="309"/>
      <c r="N18" s="309"/>
      <c r="O18" s="8"/>
    </row>
    <row r="19" spans="1:15" ht="45" x14ac:dyDescent="0.25">
      <c r="A19" s="4" t="s">
        <v>50</v>
      </c>
      <c r="B19" s="26">
        <v>6600</v>
      </c>
      <c r="C19" s="26">
        <v>3300</v>
      </c>
      <c r="D19" s="3"/>
      <c r="H19" s="4"/>
      <c r="I19" s="5"/>
      <c r="J19" s="5"/>
      <c r="K19" s="124" t="s">
        <v>163</v>
      </c>
      <c r="L19" s="124" t="s">
        <v>163</v>
      </c>
      <c r="M19" s="124" t="s">
        <v>163</v>
      </c>
      <c r="N19" s="124" t="s">
        <v>169</v>
      </c>
      <c r="O19" s="125" t="s">
        <v>179</v>
      </c>
    </row>
    <row r="20" spans="1:15" ht="18.75" x14ac:dyDescent="0.3">
      <c r="A20" s="4" t="s">
        <v>51</v>
      </c>
      <c r="B20" s="26">
        <v>6100</v>
      </c>
      <c r="C20" s="26">
        <v>3050</v>
      </c>
      <c r="D20" s="3"/>
      <c r="H20" s="4"/>
      <c r="I20" s="126"/>
      <c r="J20" s="127"/>
      <c r="K20" s="128">
        <v>12</v>
      </c>
      <c r="L20" s="128">
        <v>9</v>
      </c>
      <c r="M20" s="128">
        <v>6</v>
      </c>
      <c r="N20" s="128">
        <v>5</v>
      </c>
      <c r="O20" s="129">
        <v>0</v>
      </c>
    </row>
    <row r="21" spans="1:15" ht="18.75" x14ac:dyDescent="0.3">
      <c r="A21" s="4" t="s">
        <v>52</v>
      </c>
      <c r="B21" s="26">
        <v>7000</v>
      </c>
      <c r="C21" s="26">
        <v>3500</v>
      </c>
      <c r="D21" s="3"/>
      <c r="H21" s="130"/>
      <c r="I21" s="126"/>
      <c r="J21" s="127"/>
      <c r="K21" s="25" t="s">
        <v>165</v>
      </c>
      <c r="L21" s="131" t="s">
        <v>172</v>
      </c>
      <c r="M21" s="25" t="s">
        <v>173</v>
      </c>
      <c r="N21" s="25" t="s">
        <v>174</v>
      </c>
      <c r="O21" s="132" t="s">
        <v>178</v>
      </c>
    </row>
    <row r="22" spans="1:15" x14ac:dyDescent="0.25">
      <c r="A22" s="4" t="s">
        <v>53</v>
      </c>
      <c r="B22" s="26">
        <v>9200</v>
      </c>
      <c r="C22" s="26">
        <v>4600</v>
      </c>
      <c r="D22" s="3"/>
      <c r="H22" s="133" t="s">
        <v>163</v>
      </c>
      <c r="I22" s="128">
        <v>2845</v>
      </c>
      <c r="J22" s="25" t="s">
        <v>165</v>
      </c>
      <c r="K22" s="5">
        <v>1</v>
      </c>
      <c r="L22" s="5">
        <v>0.75</v>
      </c>
      <c r="M22" s="5">
        <v>0.5</v>
      </c>
      <c r="N22" s="5">
        <v>0.25</v>
      </c>
      <c r="O22" s="3">
        <v>0</v>
      </c>
    </row>
    <row r="23" spans="1:15" x14ac:dyDescent="0.25">
      <c r="A23" s="4" t="s">
        <v>54</v>
      </c>
      <c r="B23" s="26">
        <v>10250</v>
      </c>
      <c r="C23" s="26">
        <v>5125</v>
      </c>
      <c r="D23" s="3"/>
      <c r="H23" s="133" t="s">
        <v>163</v>
      </c>
      <c r="I23" s="128">
        <v>1445</v>
      </c>
      <c r="J23" s="25" t="s">
        <v>166</v>
      </c>
      <c r="K23" s="5">
        <v>1</v>
      </c>
      <c r="L23" s="5">
        <v>0.75</v>
      </c>
      <c r="M23" s="5">
        <v>0.5</v>
      </c>
      <c r="N23" s="5">
        <v>0</v>
      </c>
      <c r="O23" s="3">
        <v>0</v>
      </c>
    </row>
    <row r="24" spans="1:15" x14ac:dyDescent="0.25">
      <c r="A24" s="4" t="s">
        <v>55</v>
      </c>
      <c r="B24" s="26">
        <v>6500</v>
      </c>
      <c r="C24" s="26">
        <v>3250</v>
      </c>
      <c r="D24" s="3"/>
      <c r="H24" s="133" t="s">
        <v>163</v>
      </c>
      <c r="I24" s="128">
        <v>945</v>
      </c>
      <c r="J24" s="25" t="s">
        <v>167</v>
      </c>
      <c r="K24" s="5">
        <v>1</v>
      </c>
      <c r="L24" s="5">
        <v>0.75</v>
      </c>
      <c r="M24" s="5">
        <v>0</v>
      </c>
      <c r="N24" s="5">
        <v>0</v>
      </c>
      <c r="O24" s="3">
        <v>0</v>
      </c>
    </row>
    <row r="25" spans="1:15" x14ac:dyDescent="0.25">
      <c r="A25" s="4" t="s">
        <v>94</v>
      </c>
      <c r="B25" s="26">
        <v>6600</v>
      </c>
      <c r="C25" s="26">
        <v>3300</v>
      </c>
      <c r="D25" s="3"/>
      <c r="H25" s="133" t="s">
        <v>169</v>
      </c>
      <c r="I25" s="128">
        <v>944</v>
      </c>
      <c r="J25" s="25" t="s">
        <v>168</v>
      </c>
      <c r="K25" s="5">
        <v>1</v>
      </c>
      <c r="L25" s="5">
        <v>0</v>
      </c>
      <c r="M25" s="5">
        <v>0</v>
      </c>
      <c r="N25" s="5">
        <v>0</v>
      </c>
      <c r="O25" s="3">
        <v>0</v>
      </c>
    </row>
    <row r="26" spans="1:15" x14ac:dyDescent="0.25">
      <c r="A26" s="4" t="s">
        <v>95</v>
      </c>
      <c r="B26" s="26">
        <v>7200</v>
      </c>
      <c r="C26" s="26">
        <v>3600</v>
      </c>
      <c r="D26" s="3"/>
      <c r="H26" s="4"/>
      <c r="I26" s="5"/>
      <c r="J26" s="5"/>
      <c r="K26" s="5"/>
      <c r="L26" s="5"/>
      <c r="M26" s="5"/>
      <c r="N26" s="5"/>
      <c r="O26" s="3"/>
    </row>
    <row r="27" spans="1:15" x14ac:dyDescent="0.25">
      <c r="A27" s="4" t="s">
        <v>92</v>
      </c>
      <c r="B27" s="26">
        <v>7300</v>
      </c>
      <c r="C27" s="26">
        <v>3650</v>
      </c>
      <c r="D27" s="3"/>
      <c r="H27" s="42" t="s">
        <v>171</v>
      </c>
      <c r="I27" s="43" t="s">
        <v>170</v>
      </c>
      <c r="J27" s="43" t="s">
        <v>3</v>
      </c>
      <c r="K27" s="43" t="s">
        <v>175</v>
      </c>
      <c r="L27" s="134" t="s">
        <v>180</v>
      </c>
      <c r="M27" s="5"/>
      <c r="N27" s="5"/>
      <c r="O27" s="3"/>
    </row>
    <row r="28" spans="1:15" ht="15.75" thickBot="1" x14ac:dyDescent="0.3">
      <c r="A28" s="4" t="s">
        <v>93</v>
      </c>
      <c r="B28" s="26">
        <v>8100</v>
      </c>
      <c r="C28" s="26">
        <v>4050</v>
      </c>
      <c r="D28" s="3"/>
      <c r="H28" s="135" t="str">
        <f>_xlfn.IFS(I28&gt;=I22,J22,I28&gt;=I23,J23,I28&gt;=I24,J24,I28&lt;=I25,J25)</f>
        <v>No 3/4</v>
      </c>
      <c r="I28" s="136">
        <f>'Budget Worksheet'!E45</f>
        <v>0</v>
      </c>
      <c r="J28" s="137">
        <f>SUM('Budget Worksheet'!C7:C8)</f>
        <v>0</v>
      </c>
      <c r="K28" s="7" t="str">
        <f>_xlfn.IFS(J28=0,"Not enrolled",J28&gt;=K20,K21,J28&gt;=L20,L21,J28&gt;=M20,M21,J28&lt;=N20,N21)</f>
        <v>Not enrolled</v>
      </c>
      <c r="L28" s="138">
        <f>INDEX(K22:O25,MATCH(H28,J22:J25,0),MATCH(K28,K21:O21,0))</f>
        <v>0</v>
      </c>
      <c r="M28" s="7"/>
      <c r="N28" s="7"/>
      <c r="O28" s="2"/>
    </row>
    <row r="29" spans="1:15" x14ac:dyDescent="0.25">
      <c r="A29" s="4" t="s">
        <v>56</v>
      </c>
      <c r="B29" s="26">
        <v>7600</v>
      </c>
      <c r="C29" s="26">
        <v>3800</v>
      </c>
      <c r="D29" s="3"/>
    </row>
    <row r="30" spans="1:15" x14ac:dyDescent="0.25">
      <c r="A30" s="4" t="s">
        <v>57</v>
      </c>
      <c r="B30" s="26">
        <v>10250</v>
      </c>
      <c r="C30" s="26">
        <v>5125</v>
      </c>
      <c r="D30" s="3"/>
    </row>
    <row r="31" spans="1:15" x14ac:dyDescent="0.25">
      <c r="A31" s="4" t="s">
        <v>58</v>
      </c>
      <c r="B31" s="26">
        <v>6100</v>
      </c>
      <c r="C31" s="26">
        <v>3050</v>
      </c>
      <c r="D31" s="3"/>
    </row>
    <row r="32" spans="1:15" x14ac:dyDescent="0.25">
      <c r="A32" s="4" t="s">
        <v>59</v>
      </c>
      <c r="B32" s="26">
        <v>7625</v>
      </c>
      <c r="C32" s="26">
        <v>3812.5</v>
      </c>
      <c r="D32" s="3"/>
    </row>
    <row r="33" spans="1:4" x14ac:dyDescent="0.25">
      <c r="A33" s="4" t="s">
        <v>60</v>
      </c>
      <c r="B33" s="26">
        <v>4470</v>
      </c>
      <c r="C33" s="26">
        <v>2235</v>
      </c>
      <c r="D33" s="3"/>
    </row>
    <row r="34" spans="1:4" x14ac:dyDescent="0.25">
      <c r="A34" s="4" t="s">
        <v>61</v>
      </c>
      <c r="B34" s="26">
        <v>6600</v>
      </c>
      <c r="C34" s="26">
        <v>3300</v>
      </c>
      <c r="D34" s="3"/>
    </row>
    <row r="35" spans="1:4" x14ac:dyDescent="0.25">
      <c r="A35" s="4" t="s">
        <v>62</v>
      </c>
      <c r="B35" s="26">
        <v>4470</v>
      </c>
      <c r="C35" s="26">
        <v>2235</v>
      </c>
      <c r="D35" s="3"/>
    </row>
    <row r="36" spans="1:4" x14ac:dyDescent="0.25">
      <c r="A36" s="4" t="s">
        <v>63</v>
      </c>
      <c r="B36" s="26">
        <v>6600</v>
      </c>
      <c r="C36" s="26">
        <v>3300</v>
      </c>
      <c r="D36" s="3"/>
    </row>
    <row r="37" spans="1:4" x14ac:dyDescent="0.25">
      <c r="A37" s="4" t="s">
        <v>64</v>
      </c>
      <c r="B37" s="26">
        <v>6700</v>
      </c>
      <c r="C37" s="26">
        <v>3350</v>
      </c>
      <c r="D37" s="3"/>
    </row>
    <row r="38" spans="1:4" x14ac:dyDescent="0.25">
      <c r="A38" s="4" t="s">
        <v>65</v>
      </c>
      <c r="B38" s="26">
        <v>8000</v>
      </c>
      <c r="C38" s="26">
        <v>4000</v>
      </c>
      <c r="D38" s="3"/>
    </row>
    <row r="39" spans="1:4" ht="15.75" thickBot="1" x14ac:dyDescent="0.3">
      <c r="A39" s="6" t="s">
        <v>66</v>
      </c>
      <c r="B39" s="27">
        <v>6600</v>
      </c>
      <c r="C39" s="27">
        <v>3300</v>
      </c>
      <c r="D39" s="2"/>
    </row>
    <row r="40" spans="1:4" ht="15.75" thickBot="1" x14ac:dyDescent="0.3"/>
    <row r="41" spans="1:4" x14ac:dyDescent="0.25">
      <c r="A41" s="28" t="s">
        <v>67</v>
      </c>
      <c r="B41" s="29"/>
      <c r="C41" s="8"/>
    </row>
    <row r="42" spans="1:4" x14ac:dyDescent="0.25">
      <c r="A42" s="4" t="s">
        <v>13</v>
      </c>
      <c r="B42" s="30">
        <v>60</v>
      </c>
      <c r="C42" s="31">
        <v>30</v>
      </c>
    </row>
    <row r="43" spans="1:4" x14ac:dyDescent="0.25">
      <c r="A43" s="4" t="s">
        <v>68</v>
      </c>
      <c r="B43" s="30">
        <v>50</v>
      </c>
      <c r="C43" s="31"/>
    </row>
    <row r="44" spans="1:4" ht="15.75" thickBot="1" x14ac:dyDescent="0.3">
      <c r="A44" s="6" t="s">
        <v>69</v>
      </c>
      <c r="B44" s="32">
        <v>150</v>
      </c>
      <c r="C44" s="33"/>
    </row>
    <row r="45" spans="1:4" ht="15.75" thickBot="1" x14ac:dyDescent="0.3">
      <c r="B45" s="34"/>
      <c r="C45" s="34"/>
    </row>
    <row r="46" spans="1:4" x14ac:dyDescent="0.25">
      <c r="A46" s="28" t="s">
        <v>70</v>
      </c>
      <c r="B46" s="35"/>
      <c r="C46" s="36"/>
    </row>
    <row r="47" spans="1:4" x14ac:dyDescent="0.25">
      <c r="A47" s="37"/>
      <c r="B47" s="30"/>
      <c r="C47" s="31"/>
    </row>
    <row r="48" spans="1:4" x14ac:dyDescent="0.25">
      <c r="A48" s="4" t="s">
        <v>96</v>
      </c>
      <c r="B48" s="30">
        <v>5165</v>
      </c>
      <c r="C48" s="31">
        <v>2582.5</v>
      </c>
    </row>
    <row r="49" spans="1:12" x14ac:dyDescent="0.25">
      <c r="A49" s="4" t="s">
        <v>97</v>
      </c>
      <c r="B49" s="30">
        <v>4755</v>
      </c>
      <c r="C49" s="31">
        <v>2377.5</v>
      </c>
    </row>
    <row r="50" spans="1:12" ht="15.75" thickBot="1" x14ac:dyDescent="0.3">
      <c r="A50" s="15" t="s">
        <v>89</v>
      </c>
      <c r="B50" s="7">
        <v>0</v>
      </c>
      <c r="C50" s="2">
        <v>0</v>
      </c>
    </row>
    <row r="51" spans="1:12" ht="15.75" thickBot="1" x14ac:dyDescent="0.3"/>
    <row r="52" spans="1:12" x14ac:dyDescent="0.25">
      <c r="A52" s="38"/>
      <c r="B52" s="29"/>
      <c r="C52" s="29"/>
      <c r="D52" s="29"/>
      <c r="E52" s="29"/>
      <c r="F52" s="16"/>
      <c r="G52" s="29"/>
    </row>
    <row r="53" spans="1:12" x14ac:dyDescent="0.25">
      <c r="A53" s="4" t="s">
        <v>71</v>
      </c>
      <c r="B53" s="5" t="s">
        <v>72</v>
      </c>
      <c r="C53" s="5" t="s">
        <v>73</v>
      </c>
      <c r="D53" s="5" t="s">
        <v>74</v>
      </c>
      <c r="E53" s="5"/>
      <c r="F53" s="16"/>
      <c r="G53" s="16" t="s">
        <v>75</v>
      </c>
    </row>
    <row r="54" spans="1:12" x14ac:dyDescent="0.25">
      <c r="A54" s="4" t="s">
        <v>30</v>
      </c>
      <c r="B54" s="39">
        <v>43605</v>
      </c>
      <c r="C54" s="39">
        <v>43632</v>
      </c>
      <c r="D54" s="39">
        <v>43662</v>
      </c>
      <c r="E54" s="5"/>
      <c r="F54" s="5"/>
      <c r="G54" s="40">
        <v>43631</v>
      </c>
    </row>
    <row r="55" spans="1:12" x14ac:dyDescent="0.25">
      <c r="A55" s="4" t="s">
        <v>76</v>
      </c>
      <c r="B55" s="39">
        <v>43605</v>
      </c>
      <c r="C55" s="39">
        <v>43618</v>
      </c>
      <c r="D55" s="39">
        <v>43632</v>
      </c>
      <c r="E55" s="39">
        <v>43648</v>
      </c>
      <c r="F55" s="39">
        <v>43662</v>
      </c>
      <c r="G55" s="40">
        <v>43631</v>
      </c>
    </row>
    <row r="56" spans="1:12" x14ac:dyDescent="0.25">
      <c r="A56" s="4"/>
      <c r="B56" s="5"/>
      <c r="C56" s="5"/>
      <c r="D56" s="5"/>
      <c r="E56" s="5"/>
      <c r="F56" s="5"/>
      <c r="G56" s="5"/>
    </row>
    <row r="57" spans="1:12" x14ac:dyDescent="0.25">
      <c r="A57" s="4"/>
      <c r="B57" s="5"/>
      <c r="C57" s="5"/>
      <c r="D57" s="5"/>
      <c r="E57" s="5"/>
      <c r="F57" s="5"/>
      <c r="G57" s="16"/>
    </row>
    <row r="58" spans="1:12" x14ac:dyDescent="0.25">
      <c r="A58" s="42"/>
      <c r="B58" s="43"/>
      <c r="C58" s="43"/>
      <c r="D58" s="43"/>
      <c r="E58" s="43"/>
      <c r="F58" s="43"/>
    </row>
    <row r="59" spans="1:12" x14ac:dyDescent="0.25">
      <c r="A59" s="47" t="s">
        <v>30</v>
      </c>
      <c r="B59" s="49">
        <v>44789</v>
      </c>
      <c r="C59" s="49">
        <v>44820</v>
      </c>
      <c r="D59" s="49">
        <v>44850</v>
      </c>
      <c r="E59" s="49">
        <v>44881</v>
      </c>
      <c r="F59" s="49">
        <v>44911</v>
      </c>
      <c r="G59" s="71">
        <v>44850</v>
      </c>
      <c r="H59" s="78">
        <f ca="1">TODAY()</f>
        <v>44672</v>
      </c>
    </row>
    <row r="60" spans="1:12" x14ac:dyDescent="0.25">
      <c r="A60" s="46" t="s">
        <v>78</v>
      </c>
      <c r="B60" s="48">
        <v>5</v>
      </c>
      <c r="C60" s="48">
        <v>4</v>
      </c>
      <c r="D60" s="48">
        <v>3</v>
      </c>
      <c r="E60" s="48">
        <v>2</v>
      </c>
      <c r="F60" s="48">
        <v>1</v>
      </c>
      <c r="G60" s="72" t="s">
        <v>77</v>
      </c>
      <c r="H60" s="79" t="s">
        <v>117</v>
      </c>
    </row>
    <row r="61" spans="1:12" x14ac:dyDescent="0.25">
      <c r="A61" s="52" t="s">
        <v>31</v>
      </c>
      <c r="B61" s="53">
        <v>44789</v>
      </c>
      <c r="C61" s="53">
        <v>44806</v>
      </c>
      <c r="D61" s="53">
        <v>44820</v>
      </c>
      <c r="E61" s="53">
        <v>44836</v>
      </c>
      <c r="F61" s="53">
        <v>44850</v>
      </c>
      <c r="G61" s="45">
        <v>44867</v>
      </c>
      <c r="H61" s="41">
        <v>44881</v>
      </c>
      <c r="I61" s="41">
        <v>44897</v>
      </c>
      <c r="J61" s="41">
        <v>44911</v>
      </c>
    </row>
    <row r="62" spans="1:12" x14ac:dyDescent="0.25">
      <c r="A62" s="44" t="s">
        <v>79</v>
      </c>
      <c r="B62" s="50">
        <v>10</v>
      </c>
      <c r="C62" s="50">
        <v>9</v>
      </c>
      <c r="D62" s="50">
        <v>8</v>
      </c>
      <c r="E62" s="50">
        <v>7</v>
      </c>
      <c r="F62" s="50">
        <v>6</v>
      </c>
      <c r="G62" s="51">
        <v>5</v>
      </c>
      <c r="H62" s="50">
        <v>4</v>
      </c>
      <c r="I62" s="81">
        <v>3</v>
      </c>
      <c r="J62" s="81">
        <v>2</v>
      </c>
    </row>
    <row r="63" spans="1:12" x14ac:dyDescent="0.25">
      <c r="A63" s="65" t="s">
        <v>32</v>
      </c>
      <c r="B63" s="66">
        <v>44792</v>
      </c>
      <c r="C63" s="66">
        <v>44799</v>
      </c>
      <c r="D63" s="66">
        <v>44806</v>
      </c>
      <c r="E63" s="66">
        <v>44813</v>
      </c>
      <c r="F63" s="66">
        <v>44820</v>
      </c>
      <c r="G63" s="66">
        <v>44827</v>
      </c>
      <c r="H63" s="66">
        <v>44834</v>
      </c>
      <c r="I63" s="80">
        <v>44841</v>
      </c>
      <c r="J63" s="67">
        <v>44848</v>
      </c>
      <c r="K63" s="41">
        <v>44855</v>
      </c>
      <c r="L63" s="41">
        <v>44862</v>
      </c>
    </row>
    <row r="64" spans="1:12" x14ac:dyDescent="0.25">
      <c r="A64" s="68" t="s">
        <v>80</v>
      </c>
      <c r="B64" s="69">
        <v>19</v>
      </c>
      <c r="C64" s="69">
        <v>18</v>
      </c>
      <c r="D64" s="69">
        <v>17</v>
      </c>
      <c r="E64" s="69">
        <v>16</v>
      </c>
      <c r="F64" s="69">
        <v>15</v>
      </c>
      <c r="G64" s="69">
        <v>14</v>
      </c>
      <c r="H64" s="69">
        <v>13</v>
      </c>
      <c r="I64" s="69">
        <v>12</v>
      </c>
      <c r="J64" s="70">
        <v>11</v>
      </c>
      <c r="K64" s="82">
        <v>10</v>
      </c>
      <c r="L64" s="82">
        <v>9</v>
      </c>
    </row>
    <row r="67" spans="1:7" x14ac:dyDescent="0.25">
      <c r="D67" s="41">
        <v>44409</v>
      </c>
      <c r="E67" t="b">
        <f>IF($D67&gt;$B$59, TRUE, FALSE)</f>
        <v>0</v>
      </c>
      <c r="F67" t="b">
        <f>IF($D67&lt;$C$59, TRUE, FALSE)</f>
        <v>1</v>
      </c>
      <c r="G67" t="b">
        <f>IF($D67&lt;$D$59, TRUE, FALSE)</f>
        <v>1</v>
      </c>
    </row>
    <row r="68" spans="1:7" x14ac:dyDescent="0.25">
      <c r="D68" s="41">
        <v>44440</v>
      </c>
      <c r="E68" t="b">
        <f t="shared" ref="E68:E70" si="0">IF($D68&gt;$B$59, TRUE, FALSE)</f>
        <v>0</v>
      </c>
      <c r="F68" t="b">
        <f t="shared" ref="F68:F70" si="1">IF($D68&lt;$C$59, TRUE, FALSE)</f>
        <v>1</v>
      </c>
      <c r="G68" t="b">
        <f t="shared" ref="G68:G70" si="2">IF($D68&lt;$D$59, TRUE, FALSE)</f>
        <v>1</v>
      </c>
    </row>
    <row r="69" spans="1:7" ht="15.75" thickBot="1" x14ac:dyDescent="0.3">
      <c r="D69" s="41">
        <v>44470</v>
      </c>
      <c r="E69" t="b">
        <f t="shared" si="0"/>
        <v>0</v>
      </c>
      <c r="F69" t="b">
        <f t="shared" si="1"/>
        <v>1</v>
      </c>
      <c r="G69" t="b">
        <f t="shared" si="2"/>
        <v>1</v>
      </c>
    </row>
    <row r="70" spans="1:7" x14ac:dyDescent="0.25">
      <c r="A70" s="54" t="s">
        <v>81</v>
      </c>
      <c r="B70" s="55"/>
      <c r="D70" s="41">
        <v>44501</v>
      </c>
      <c r="E70" t="b">
        <f t="shared" si="0"/>
        <v>0</v>
      </c>
      <c r="F70" t="b">
        <f t="shared" si="1"/>
        <v>1</v>
      </c>
      <c r="G70" t="b">
        <f t="shared" si="2"/>
        <v>1</v>
      </c>
    </row>
    <row r="71" spans="1:7" x14ac:dyDescent="0.25">
      <c r="A71" s="56" t="s">
        <v>82</v>
      </c>
      <c r="B71" s="57"/>
    </row>
    <row r="72" spans="1:7" x14ac:dyDescent="0.25">
      <c r="A72" s="58" t="s">
        <v>83</v>
      </c>
      <c r="B72" s="59">
        <v>135</v>
      </c>
    </row>
    <row r="73" spans="1:7" x14ac:dyDescent="0.25">
      <c r="A73" s="58" t="s">
        <v>84</v>
      </c>
      <c r="B73" s="59">
        <v>200</v>
      </c>
    </row>
    <row r="74" spans="1:7" x14ac:dyDescent="0.25">
      <c r="A74" s="58" t="s">
        <v>85</v>
      </c>
      <c r="B74" s="59">
        <v>110</v>
      </c>
    </row>
    <row r="75" spans="1:7" x14ac:dyDescent="0.25">
      <c r="A75" s="58" t="s">
        <v>86</v>
      </c>
      <c r="B75" s="59">
        <v>110</v>
      </c>
    </row>
    <row r="76" spans="1:7" x14ac:dyDescent="0.25">
      <c r="A76" s="58" t="s">
        <v>87</v>
      </c>
      <c r="B76" s="59">
        <v>50</v>
      </c>
    </row>
    <row r="77" spans="1:7" x14ac:dyDescent="0.25">
      <c r="A77" s="58" t="s">
        <v>88</v>
      </c>
      <c r="B77" s="59">
        <v>20</v>
      </c>
    </row>
    <row r="78" spans="1:7" ht="15.75" thickBot="1" x14ac:dyDescent="0.3">
      <c r="A78" s="60" t="s">
        <v>89</v>
      </c>
      <c r="B78" s="61">
        <v>0</v>
      </c>
    </row>
    <row r="79" spans="1:7" ht="15.75" thickBot="1" x14ac:dyDescent="0.3"/>
    <row r="80" spans="1:7" x14ac:dyDescent="0.25">
      <c r="A80" s="310" t="s">
        <v>101</v>
      </c>
      <c r="B80" s="311"/>
    </row>
    <row r="81" spans="1:2" x14ac:dyDescent="0.25">
      <c r="A81" s="14" t="s">
        <v>26</v>
      </c>
      <c r="B81" s="62">
        <v>140</v>
      </c>
    </row>
    <row r="82" spans="1:2" ht="15.75" thickBot="1" x14ac:dyDescent="0.3">
      <c r="A82" s="63" t="s">
        <v>9</v>
      </c>
      <c r="B82" s="64">
        <v>0</v>
      </c>
    </row>
  </sheetData>
  <sheetProtection algorithmName="SHA-512" hashValue="mQmNue6V1GghlHH3Ze3HZEhjEKlcyYyspo5Okljt3p2cSLIrUR9vbLbULilcBbYFEurHWmOkptQ2dZBvXIIO/g==" saltValue="fBEWYA7MROz+K9t3Q0ykDg==" spinCount="100000" sheet="1" selectLockedCells="1" selectUnlockedCells="1"/>
  <mergeCells count="5">
    <mergeCell ref="H18:N18"/>
    <mergeCell ref="A3:B3"/>
    <mergeCell ref="D3:F3"/>
    <mergeCell ref="A13:C13"/>
    <mergeCell ref="A80:B8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Wilkerson, Brenna</cp:lastModifiedBy>
  <cp:lastPrinted>2021-01-11T18:26:37Z</cp:lastPrinted>
  <dcterms:created xsi:type="dcterms:W3CDTF">2019-10-03T17:28:45Z</dcterms:created>
  <dcterms:modified xsi:type="dcterms:W3CDTF">2022-04-21T21:20:42Z</dcterms:modified>
</cp:coreProperties>
</file>