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codeName="ThisWorkbook"/>
  <mc:AlternateContent xmlns:mc="http://schemas.openxmlformats.org/markup-compatibility/2006">
    <mc:Choice Requires="x15">
      <x15ac:absPath xmlns:x15ac="http://schemas.microsoft.com/office/spreadsheetml/2010/11/ac" url="https://coloradomesa365.sharepoint.com/sites/IRIS-TestPlan/Shared Documents/Directors Operations/Budget Worksheet Backups/"/>
    </mc:Choice>
  </mc:AlternateContent>
  <xr:revisionPtr revIDLastSave="624" documentId="8_{4F8E2ACA-9BD5-4DA6-B5F3-2285068ECB8E}" xr6:coauthVersionLast="47" xr6:coauthVersionMax="47" xr10:uidLastSave="{EA9B0EC0-5F3C-4104-AB8E-B59A6467FC79}"/>
  <bookViews>
    <workbookView xWindow="28680" yWindow="-120" windowWidth="29040" windowHeight="15720" xr2:uid="{00000000-000D-0000-FFFF-FFFF00000000}"/>
  </bookViews>
  <sheets>
    <sheet name="CMU Budget Worksheet" sheetId="1" r:id="rId1"/>
    <sheet name="Monthly Worksheet" sheetId="3" r:id="rId2"/>
    <sheet name="Data"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2" l="1"/>
  <c r="C23" i="2"/>
  <c r="C24" i="2"/>
  <c r="C25" i="2"/>
  <c r="C26" i="2"/>
  <c r="C27" i="2"/>
  <c r="C28" i="2"/>
  <c r="C29" i="2"/>
  <c r="C30" i="2"/>
  <c r="C31" i="2"/>
  <c r="C32" i="2"/>
  <c r="C33" i="2"/>
  <c r="C34" i="2"/>
  <c r="C35" i="2"/>
  <c r="C36" i="2"/>
  <c r="C37" i="2"/>
  <c r="C38" i="2"/>
  <c r="D38" i="2" s="1"/>
  <c r="C39" i="2"/>
  <c r="C40" i="2"/>
  <c r="C41" i="2"/>
  <c r="C42" i="2"/>
  <c r="C43" i="2"/>
  <c r="C44" i="2"/>
  <c r="C45" i="2"/>
  <c r="C46" i="2"/>
  <c r="C21" i="2"/>
  <c r="C8" i="2"/>
  <c r="C9" i="2"/>
  <c r="C10" i="2"/>
  <c r="C11" i="2"/>
  <c r="C12" i="2"/>
  <c r="C13" i="2"/>
  <c r="C14" i="2"/>
  <c r="C15" i="2"/>
  <c r="C7" i="2"/>
  <c r="D70" i="3"/>
  <c r="D69" i="3"/>
  <c r="E69" i="3"/>
  <c r="C69"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34" i="3"/>
  <c r="E27" i="3"/>
  <c r="E28" i="3"/>
  <c r="E29" i="3"/>
  <c r="E30" i="3"/>
  <c r="E26" i="3"/>
  <c r="D31" i="3"/>
  <c r="C31" i="3"/>
  <c r="C70" i="3" s="1"/>
  <c r="D20" i="3"/>
  <c r="C20" i="3"/>
  <c r="E15" i="3"/>
  <c r="E16" i="3"/>
  <c r="E17" i="3"/>
  <c r="E18" i="3"/>
  <c r="E19" i="3"/>
  <c r="E14" i="3"/>
  <c r="D11" i="3"/>
  <c r="E8" i="3"/>
  <c r="E9" i="3"/>
  <c r="E10" i="3"/>
  <c r="F2" i="3"/>
  <c r="C2" i="3"/>
  <c r="G30" i="1" a="1"/>
  <c r="G30" i="1" s="1"/>
  <c r="E8" i="1"/>
  <c r="D59" i="2"/>
  <c r="D60" i="2"/>
  <c r="D61" i="2"/>
  <c r="D62" i="2"/>
  <c r="D58" i="2"/>
  <c r="F27" i="1" a="1"/>
  <c r="F27" i="1" s="1"/>
  <c r="G35" i="1"/>
  <c r="G36" i="1"/>
  <c r="R50" i="2"/>
  <c r="L53" i="2"/>
  <c r="M53" i="2" s="1"/>
  <c r="N53" i="2" s="1"/>
  <c r="O53" i="2" s="1"/>
  <c r="P53" i="2" s="1"/>
  <c r="Q53" i="2" s="1"/>
  <c r="I20" i="2"/>
  <c r="F26" i="1" s="1"/>
  <c r="G26" i="1" s="1"/>
  <c r="F8" i="1"/>
  <c r="E9" i="1"/>
  <c r="F9" i="1"/>
  <c r="E10" i="1"/>
  <c r="G10" i="1" s="1"/>
  <c r="E11" i="1"/>
  <c r="G11" i="1" s="1"/>
  <c r="G16" i="1"/>
  <c r="G17" i="1"/>
  <c r="G18" i="1"/>
  <c r="F25" i="1" a="1"/>
  <c r="F25" i="1" s="1"/>
  <c r="B28" i="1"/>
  <c r="G31" i="1"/>
  <c r="G32" i="1"/>
  <c r="B33" i="1"/>
  <c r="G41" i="1" a="1"/>
  <c r="G41" i="1" s="1"/>
  <c r="G42" i="1" a="1"/>
  <c r="G42" i="1" s="1"/>
  <c r="G43" i="1" a="1"/>
  <c r="G43" i="1" s="1"/>
  <c r="B44" i="1"/>
  <c r="G37" i="1"/>
  <c r="G38" i="1"/>
  <c r="E31" i="3" l="1"/>
  <c r="E70" i="3" s="1"/>
  <c r="D21" i="3"/>
  <c r="D22" i="3" s="1"/>
  <c r="E20" i="3"/>
  <c r="G39" i="1"/>
  <c r="G9" i="1"/>
  <c r="G33" i="1"/>
  <c r="G21" i="1"/>
  <c r="G8" i="1"/>
  <c r="G44" i="1"/>
  <c r="G12" i="1" l="1"/>
  <c r="G22" i="1" s="1"/>
  <c r="C70" i="2" l="1"/>
  <c r="D57" i="2"/>
  <c r="D56" i="2"/>
  <c r="D21" i="2"/>
  <c r="D22" i="2"/>
  <c r="D24" i="2"/>
  <c r="D25" i="2"/>
  <c r="D23" i="2"/>
  <c r="D26" i="2"/>
  <c r="D29" i="2"/>
  <c r="D27" i="2"/>
  <c r="D28" i="2"/>
  <c r="D34" i="2"/>
  <c r="D30" i="2"/>
  <c r="D31" i="2"/>
  <c r="D32" i="2"/>
  <c r="D33" i="2"/>
  <c r="D35" i="2"/>
  <c r="D36" i="2"/>
  <c r="D37" i="2"/>
  <c r="D39" i="2"/>
  <c r="D40" i="2"/>
  <c r="D41" i="2"/>
  <c r="D42" i="2"/>
  <c r="D43" i="2"/>
  <c r="D44" i="2"/>
  <c r="D46" i="2"/>
  <c r="D45" i="2"/>
  <c r="D20" i="2"/>
  <c r="I27" i="2" l="1"/>
  <c r="G25" i="1" l="1" a="1"/>
  <c r="G25" i="1" s="1"/>
  <c r="I26" i="2" s="1"/>
  <c r="G27" i="1" s="1" a="1"/>
  <c r="G27" i="1" s="1"/>
  <c r="G28" i="1" l="1"/>
  <c r="G45" i="1" l="1"/>
  <c r="G47" i="1" s="1"/>
  <c r="C11" i="3" l="1"/>
  <c r="E7" i="3"/>
  <c r="B47" i="1"/>
  <c r="D49" i="1" a="1"/>
  <c r="D49" i="1" s="1"/>
  <c r="D50" i="1" a="1"/>
  <c r="D50" i="1" s="1"/>
  <c r="D51" i="1" a="1"/>
  <c r="D51" i="1" s="1"/>
  <c r="E11" i="3" l="1"/>
  <c r="C21" i="3"/>
  <c r="E21" i="3" s="1"/>
  <c r="C22" i="3" l="1"/>
  <c r="E2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Wilkerson, Brenna</author>
  </authors>
  <commentList>
    <comment ref="Q53" authorId="0" shapeId="0" xr:uid="{0B0D60E2-AB28-4C08-8108-7C85DE2EAF94}">
      <text>
        <r>
          <rPr>
            <b/>
            <sz val="9"/>
            <color indexed="81"/>
            <rFont val="Tahoma"/>
            <family val="2"/>
          </rPr>
          <t>Wilkerson, Brenna:</t>
        </r>
        <r>
          <rPr>
            <sz val="9"/>
            <color indexed="81"/>
            <rFont val="Tahoma"/>
            <family val="2"/>
          </rPr>
          <t xml:space="preserve">
Last day to sign up because payment plan dates don't follow normal pattern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<sst xmlns="http://schemas.openxmlformats.org/spreadsheetml/2006/main" count="433" uniqueCount="282">
  <si>
    <t>How to Use this Budget Worksheet</t>
  </si>
  <si>
    <t>Name:</t>
  </si>
  <si>
    <t>700#:</t>
  </si>
  <si>
    <t>What are my costs?</t>
  </si>
  <si>
    <t>Tuition &amp; Fees</t>
  </si>
  <si>
    <t>Tuition Classification:</t>
  </si>
  <si>
    <t>Step 1: Estimate your tuition charges</t>
  </si>
  <si>
    <t>Credit Hours</t>
  </si>
  <si>
    <t>Tuition Per Credit</t>
  </si>
  <si>
    <t>Fees Per Credit</t>
  </si>
  <si>
    <t>Total</t>
  </si>
  <si>
    <t>-</t>
  </si>
  <si>
    <t>Type in your name and 700# (student ID number).</t>
  </si>
  <si>
    <t>On Campus/Hybrid</t>
  </si>
  <si>
    <t>Use the drop down menu to select your residency/tuition classification.</t>
  </si>
  <si>
    <t>Career &amp; Technical Education (CTE)</t>
  </si>
  <si>
    <t>Enter the number of credit hours you will be taking for on campus and/or hybrid classes.</t>
  </si>
  <si>
    <t>Online</t>
  </si>
  <si>
    <t xml:space="preserve">Use the drop down to select if you are taking any Career &amp; Technical Education (CTE) or CTE-Health Sciences courses and then enter the number of credits. </t>
  </si>
  <si>
    <t>COF Eligible</t>
  </si>
  <si>
    <t>What is COF? Visit www.coloradomesa.edu/cof to learn more.</t>
  </si>
  <si>
    <t>Tuition &amp; Fees Total</t>
  </si>
  <si>
    <t>Enter the number of credit hours you will be taking for online classes.</t>
  </si>
  <si>
    <t>If you are an in-state student, use the drop down menu to select if you will be receiving COF.</t>
  </si>
  <si>
    <r>
      <rPr>
        <b/>
        <sz val="11"/>
        <color theme="1"/>
        <rFont val="Calibri"/>
        <family val="2"/>
        <scheme val="minor"/>
      </rPr>
      <t>Step 3: Estimate other CMU expenses
-</t>
    </r>
    <r>
      <rPr>
        <sz val="11"/>
        <color theme="1"/>
        <rFont val="Calibri"/>
        <family val="2"/>
        <scheme val="minor"/>
      </rPr>
      <t>Use the drop down to select if this is your first semester at CMU. First-time students will receive a matriculation fee</t>
    </r>
  </si>
  <si>
    <t>Description (e.g. books, transportation, rent, etc.)</t>
  </si>
  <si>
    <t>Enter the amount for any previous semester balance (if applicable).</t>
  </si>
  <si>
    <t>Do you have a past balance from a previous semester?</t>
  </si>
  <si>
    <t>Use the drop down menu to select if this is your first semester at CMU. All first-time students are charged a one-time, non-refundable matriculation fee that covers one-time miscellaneous expenses and an orientation fee for New Mav Days.</t>
  </si>
  <si>
    <t>Is this your first semester at CMU?</t>
  </si>
  <si>
    <t>Are you enrolled in the Early Start Program?</t>
  </si>
  <si>
    <t>Use the drop down menu to select if you are  participating in an Early Start Program and/or buying a parking permit.</t>
  </si>
  <si>
    <t>Are you planning to buy a parking pass?</t>
  </si>
  <si>
    <t>Type name of additional expenses here</t>
  </si>
  <si>
    <t>Step 4: Enter your scholarships</t>
  </si>
  <si>
    <t>Use the drop down menu to select if you will be receiving a CMU merit scholarship.</t>
  </si>
  <si>
    <t>Total Other Expenses</t>
  </si>
  <si>
    <t>Use the drop down menu to select if you will be receiving the First Generation and/or Legacy Scholarship.</t>
  </si>
  <si>
    <t>Total Semester Charges</t>
  </si>
  <si>
    <t>Use the drop down menu to select if you are eligible for the CMU Promise program.</t>
  </si>
  <si>
    <t>How do I plan to pay?</t>
  </si>
  <si>
    <t xml:space="preserve">Enter the names and amounts for any other scholarships you will be receiving. </t>
  </si>
  <si>
    <t>CMU Merit Scholarships &amp; CMU Promise</t>
  </si>
  <si>
    <t>Yearly Amount</t>
  </si>
  <si>
    <t>Per Semester</t>
  </si>
  <si>
    <t>Note: The Distinguished Scholarship will automatically adjust for the cost of tuition minus COF funding. The CMU Promise program funding will adust for the cost of tuition minus COF funding and other financial aid awarded.</t>
  </si>
  <si>
    <t>CMU Merit Scholarships</t>
  </si>
  <si>
    <t>First Gen or Next Gen</t>
  </si>
  <si>
    <t>Step 5: Enter your grant information</t>
  </si>
  <si>
    <t>CMU Promise Eligible?</t>
  </si>
  <si>
    <t>Enter the amount of Pell Grant you were offered (if applicable)</t>
  </si>
  <si>
    <t>Select if you received the Colorado State Grant (CSG) or the Supplemental Educational Opportunity Grant (SEOG) and enter the amounts</t>
  </si>
  <si>
    <t>Grants</t>
  </si>
  <si>
    <t>Pell Grant</t>
  </si>
  <si>
    <t xml:space="preserve">Enter the names and amounts of any other grants. </t>
  </si>
  <si>
    <t>Colorado State Grant (CSG) or Supplemental Educ. Opportunity Grant (SEOG)</t>
  </si>
  <si>
    <t>Note: CSG, SEOG, and many other grants require you to be enrolled in 12 or more credit hours. The Pell Grant is awarded on a sliding scale based on your credit hours and financial information from the FAFSA.</t>
  </si>
  <si>
    <t>Type name of additional grants here</t>
  </si>
  <si>
    <t>Grants Total</t>
  </si>
  <si>
    <t>Step 6: Enter your other sources of funding</t>
  </si>
  <si>
    <t>Other Scholarships &amp; Contributions</t>
  </si>
  <si>
    <t>Enter the names and amounts of other sources of funding. Use the drop-down to select the funding type (e.g. outside scholarships, 529 payments, family contributions, etc.)</t>
  </si>
  <si>
    <t>Type name of other funding here</t>
  </si>
  <si>
    <t>Step 7: Enter your loan amounts</t>
  </si>
  <si>
    <t>Enter the amounts for any subsidized, unsubsidized, or Parent PLUS loans you plan to use. All federal loans have an origination or loan fee that is automatically deducted.</t>
  </si>
  <si>
    <t>Other/Family Contributions Total</t>
  </si>
  <si>
    <t>Note: If you are accepting loans for the first-time or accepting a Parent PLUS loan, you will need to complete additional steps at www.studentaid.gov. View your financial aid tasks in your MAVzone.</t>
  </si>
  <si>
    <t>Federal Loans</t>
  </si>
  <si>
    <t>Subsidized Loan</t>
  </si>
  <si>
    <t>Make a plan!</t>
  </si>
  <si>
    <t>Unsubsidized Loan</t>
  </si>
  <si>
    <r>
      <rPr>
        <b/>
        <u/>
        <sz val="11"/>
        <color theme="1"/>
        <rFont val="Calibri"/>
        <family val="2"/>
        <scheme val="minor"/>
      </rPr>
      <t>Getting a refund?</t>
    </r>
    <r>
      <rPr>
        <sz val="11"/>
        <color theme="1"/>
        <rFont val="Calibri"/>
        <family val="2"/>
        <scheme val="minor"/>
      </rPr>
      <t xml:space="preserve"> Sign up for eRefunds (direct deposit) in the ePay app in MAVzone to get your refund faster.</t>
    </r>
  </si>
  <si>
    <t>Parent PLUS Loan</t>
  </si>
  <si>
    <r>
      <rPr>
        <b/>
        <u/>
        <sz val="11"/>
        <color theme="1"/>
        <rFont val="Calibri"/>
        <family val="2"/>
        <scheme val="minor"/>
      </rPr>
      <t>Will you have a balance?</t>
    </r>
    <r>
      <rPr>
        <sz val="11"/>
        <color theme="1"/>
        <rFont val="Calibri"/>
        <family val="2"/>
        <scheme val="minor"/>
      </rPr>
      <t xml:space="preserve"> Check out the ePay app in MAVzone to make payments, sign up for a payment plan, and/or add authorized users who can view your account and make payments. </t>
    </r>
  </si>
  <si>
    <t>Loans Total</t>
  </si>
  <si>
    <t>Total Expected Financial Aid</t>
  </si>
  <si>
    <r>
      <rPr>
        <b/>
        <u/>
        <sz val="11"/>
        <color theme="1"/>
        <rFont val="Calibri"/>
        <family val="2"/>
        <scheme val="minor"/>
      </rPr>
      <t>When are bills due?</t>
    </r>
    <r>
      <rPr>
        <sz val="11"/>
        <color theme="1"/>
        <rFont val="Calibri"/>
        <family val="2"/>
        <scheme val="minor"/>
      </rPr>
      <t xml:space="preserve"> Bills are due September 15 for fall semesters and February 15 for spring semesters. </t>
    </r>
  </si>
  <si>
    <t>How much will I owe after financial aid has paid?</t>
  </si>
  <si>
    <r>
      <rPr>
        <b/>
        <u/>
        <sz val="11"/>
        <color theme="1"/>
        <rFont val="Calibri"/>
        <family val="2"/>
        <scheme val="minor"/>
      </rPr>
      <t>How will a balance affect registration?</t>
    </r>
    <r>
      <rPr>
        <sz val="11"/>
        <color theme="1"/>
        <rFont val="Calibri"/>
        <family val="2"/>
        <scheme val="minor"/>
      </rPr>
      <t xml:space="preserve"> Currently enrolled students must have their balance below $1000 in order to register for the next semester. Students who are not currently enrolled must have their balance paid in full in order to register.</t>
    </r>
  </si>
  <si>
    <t>Payment Plan Type</t>
  </si>
  <si>
    <t>Payment Amounts</t>
  </si>
  <si>
    <t xml:space="preserve">   Still Owe? Sign up for a Payment Plan!</t>
  </si>
  <si>
    <t>Monthly</t>
  </si>
  <si>
    <r>
      <rPr>
        <b/>
        <u/>
        <sz val="11"/>
        <color theme="1"/>
        <rFont val="Calibri"/>
        <family val="2"/>
        <scheme val="minor"/>
      </rPr>
      <t xml:space="preserve">Still have questions? askIRIS! </t>
    </r>
    <r>
      <rPr>
        <sz val="11"/>
        <color theme="1"/>
        <rFont val="Calibri"/>
        <family val="2"/>
        <scheme val="minor"/>
      </rPr>
      <t>Stop by IRIS on the first floor of Lowell Heiny Hall, call 970-248-1177, or email iris@coloradomesa.edu. Schedule a financial advising appointment with an IRIS Advisor at www.coloradomesa.edu/iris</t>
    </r>
  </si>
  <si>
    <t>Semi-Monthly</t>
  </si>
  <si>
    <t xml:space="preserve">      -Log into MAVzone and click the ePAY app</t>
  </si>
  <si>
    <t>Weekly</t>
  </si>
  <si>
    <t xml:space="preserve">      -Click the “Payment Plans” tab → Click “Enroll Now”</t>
  </si>
  <si>
    <t>Merit Scholarships</t>
  </si>
  <si>
    <t>Selection</t>
  </si>
  <si>
    <t>Fall/ Spring Estimated Rate</t>
  </si>
  <si>
    <t>Notes</t>
  </si>
  <si>
    <t>Scholarship Name</t>
  </si>
  <si>
    <t>Amount</t>
  </si>
  <si>
    <t>In-State</t>
  </si>
  <si>
    <t>Distinguished Scholar</t>
  </si>
  <si>
    <t>N/A</t>
  </si>
  <si>
    <t>Reflects updated 2024-2025 scholarships</t>
  </si>
  <si>
    <t>Out-of-State</t>
  </si>
  <si>
    <t>Trustee</t>
  </si>
  <si>
    <t>Western Undergratuate Exchange (WUE)</t>
  </si>
  <si>
    <t>Presidential</t>
  </si>
  <si>
    <t>Mountains and Plains (M&amp;P)</t>
  </si>
  <si>
    <t>Academic Achievement</t>
  </si>
  <si>
    <t>Two Rivers</t>
  </si>
  <si>
    <t>COF</t>
  </si>
  <si>
    <t>Phi Theta Kappa</t>
  </si>
  <si>
    <t>Student Fees Per Credit Hour</t>
  </si>
  <si>
    <t>None</t>
  </si>
  <si>
    <t>CTE-Health Sciences</t>
  </si>
  <si>
    <t>Other Scholarships</t>
  </si>
  <si>
    <t>Residence Hall Rates</t>
  </si>
  <si>
    <t>First Gen</t>
  </si>
  <si>
    <t>Did not change from 23-24 amounts</t>
  </si>
  <si>
    <t>Dorm Selection</t>
  </si>
  <si>
    <t>Room Cost per Year</t>
  </si>
  <si>
    <t>Room Cost per Semester</t>
  </si>
  <si>
    <t>Next Gen</t>
  </si>
  <si>
    <t>Both</t>
  </si>
  <si>
    <t>Aspen Apartments</t>
  </si>
  <si>
    <t>Actual 24-25 from website</t>
  </si>
  <si>
    <t>Bunting Hall - Double</t>
  </si>
  <si>
    <t>Bunting Hall - Double Stacked</t>
  </si>
  <si>
    <t>Bunting Hall - Single</t>
  </si>
  <si>
    <t>CMU Promise &amp; Distinguished Scholarship Calculations</t>
  </si>
  <si>
    <t>Bunting Hall - Super Single</t>
  </si>
  <si>
    <t>Sums</t>
  </si>
  <si>
    <t>Amounts</t>
  </si>
  <si>
    <t>Garfield Hall - Double</t>
  </si>
  <si>
    <t>Scholarship &amp; Grants</t>
  </si>
  <si>
    <t>Sums merit scholarships, all grants, and athletic scholarships</t>
  </si>
  <si>
    <t>Grand Mesa Hall - Single</t>
  </si>
  <si>
    <t>Tuition - COF</t>
  </si>
  <si>
    <t>Amounts are from input on Budget Worksheet tab and adjust automatically</t>
  </si>
  <si>
    <t>Grand Mesa Hall - Super Single</t>
  </si>
  <si>
    <t>Grand Mesa Hall - Double</t>
  </si>
  <si>
    <t>Lucero Hall - Double</t>
  </si>
  <si>
    <t>Lucero Hall - Single</t>
  </si>
  <si>
    <t>Additional Funding Type</t>
  </si>
  <si>
    <t>Count Against CMU Promise?</t>
  </si>
  <si>
    <t>Lucero Hall Apartment - Double</t>
  </si>
  <si>
    <t>CMU Foundation Scholarship</t>
  </si>
  <si>
    <t>No</t>
  </si>
  <si>
    <t>Lucero Hall Apartment - Single</t>
  </si>
  <si>
    <t>Athletic Scholarship</t>
  </si>
  <si>
    <t>Yes</t>
  </si>
  <si>
    <t>Monument Hall - Double</t>
  </si>
  <si>
    <t>Outside Scholarship</t>
  </si>
  <si>
    <t>Orchard Ave Apartments - Double</t>
  </si>
  <si>
    <t>529 Payment</t>
  </si>
  <si>
    <t>Orchard Ave Apartments - Single</t>
  </si>
  <si>
    <t>Personal/Family Contribution</t>
  </si>
  <si>
    <t>Pinon Hall - Double</t>
  </si>
  <si>
    <t>Alternative Loan</t>
  </si>
  <si>
    <t>Pinon Hall - Single</t>
  </si>
  <si>
    <t>Other</t>
  </si>
  <si>
    <t>Rait Hall - Double</t>
  </si>
  <si>
    <t>Rait Hall - Single</t>
  </si>
  <si>
    <t>Tolman Hall - Double</t>
  </si>
  <si>
    <t>Origination/Loan Fees</t>
  </si>
  <si>
    <t>Tolman Hall - Single</t>
  </si>
  <si>
    <t>Loan Type</t>
  </si>
  <si>
    <t>Fee Amount</t>
  </si>
  <si>
    <t>Walnut Ridge Apartments - Double</t>
  </si>
  <si>
    <t>Subsidized &amp; Unsubsidized</t>
  </si>
  <si>
    <t>For loans disbursed on or after 10/1/20 and before 10/1/24</t>
  </si>
  <si>
    <t>Walnut Ridge Apartments - Single</t>
  </si>
  <si>
    <t>Parent PLUS</t>
  </si>
  <si>
    <t>For loans disbursed on or after 10/1/20 and before 10/1/25</t>
  </si>
  <si>
    <t>Wingate Hall - Apartment Single</t>
  </si>
  <si>
    <t>Wingate Hall - Double</t>
  </si>
  <si>
    <t>Payment Plans</t>
  </si>
  <si>
    <t>Dates</t>
  </si>
  <si>
    <t>Res Hall Activity Fee</t>
  </si>
  <si>
    <t>Today's Date</t>
  </si>
  <si>
    <t># of Pymts-Monthly</t>
  </si>
  <si>
    <t>Deadline Past</t>
  </si>
  <si>
    <t>Did not add estimated increase</t>
  </si>
  <si>
    <t># of Pymts-BiMonthly</t>
  </si>
  <si>
    <t>Res Hall Meal Plans</t>
  </si>
  <si>
    <t># of Pymts-Weekly</t>
  </si>
  <si>
    <t>Name</t>
  </si>
  <si>
    <t>Cost per Year</t>
  </si>
  <si>
    <t>Cost per Semester</t>
  </si>
  <si>
    <t>First-Time Student Fees</t>
  </si>
  <si>
    <t>Fee Name</t>
  </si>
  <si>
    <t>Matriculation Fee</t>
  </si>
  <si>
    <t>Did not add an estimated increase</t>
  </si>
  <si>
    <t>New Mav Days</t>
  </si>
  <si>
    <t>Parking Permits</t>
  </si>
  <si>
    <t>Residence Hall Permit</t>
  </si>
  <si>
    <t>Residence Reserved Hall Permit</t>
  </si>
  <si>
    <t xml:space="preserve">Commuter Permit </t>
  </si>
  <si>
    <t xml:space="preserve">Faculty/Staff Permit </t>
  </si>
  <si>
    <t xml:space="preserve">Value Permit </t>
  </si>
  <si>
    <t>Motorcycle Permit</t>
  </si>
  <si>
    <t>Early Start Program</t>
  </si>
  <si>
    <t>From Early Start website</t>
  </si>
  <si>
    <t>The Unlimited</t>
  </si>
  <si>
    <t>The 17</t>
  </si>
  <si>
    <t>The 14</t>
  </si>
  <si>
    <t>Updated with new meal plans 6/10/24</t>
  </si>
  <si>
    <t>Wingate/Aspen Apartment</t>
  </si>
  <si>
    <t>MAV 20</t>
  </si>
  <si>
    <t>MAV 40</t>
  </si>
  <si>
    <t>MAV 80</t>
  </si>
  <si>
    <t>Added 6/11/24</t>
  </si>
  <si>
    <t>Last updated 10/31/24 by Justin; added spring 25 payment plan dates</t>
  </si>
  <si>
    <t>Estimated Semester Budget Worksheet - Fall 2025 Off Campus</t>
  </si>
  <si>
    <t>Monthly Income</t>
  </si>
  <si>
    <t>Budget</t>
  </si>
  <si>
    <t>Actual</t>
  </si>
  <si>
    <t>Wages</t>
  </si>
  <si>
    <t>Savings</t>
  </si>
  <si>
    <t>Other Income</t>
  </si>
  <si>
    <t>Monthly Expenses</t>
  </si>
  <si>
    <t>Automobile - Car Maintenance</t>
  </si>
  <si>
    <t>Automobile - Car Payment</t>
  </si>
  <si>
    <t>Automobile - Gas</t>
  </si>
  <si>
    <t>Automobile - Insurance</t>
  </si>
  <si>
    <t>Charitable Donations</t>
  </si>
  <si>
    <t>Clothing - Laundry, Dry Cleaning</t>
  </si>
  <si>
    <t>Clothing - Purchases</t>
  </si>
  <si>
    <t>Debt - Credit Card Payment(s)</t>
  </si>
  <si>
    <t>Education - Other</t>
  </si>
  <si>
    <t>Emergency Fund</t>
  </si>
  <si>
    <t>Food - Dining Out</t>
  </si>
  <si>
    <t>Food - Groceries</t>
  </si>
  <si>
    <t>Gifts</t>
  </si>
  <si>
    <t>Healthcare - Dental</t>
  </si>
  <si>
    <t>Healthcare - Physician</t>
  </si>
  <si>
    <t>Healthcare - Prescriptions</t>
  </si>
  <si>
    <t>Housing - Cell Phone Service</t>
  </si>
  <si>
    <t>Housing - Cable/Internet/Phone</t>
  </si>
  <si>
    <t>Housing - Rent</t>
  </si>
  <si>
    <t>Leisure - Books &amp; Periodicals</t>
  </si>
  <si>
    <t>Leisure - Movies</t>
  </si>
  <si>
    <t>Leisure - Other</t>
  </si>
  <si>
    <t>Personal Care</t>
  </si>
  <si>
    <t>Savings - Short Term</t>
  </si>
  <si>
    <t>Travel</t>
  </si>
  <si>
    <t>Other Billable Expenses</t>
  </si>
  <si>
    <t>Type in the name and amounts for any additional billable items (e.g. lab fees, course fees, MAVcharge purchases, etc.). Billable items are expenses that are charged to your student account at CMU. Non-billable expenses (such as gas, internet, groceries) are added on the Monthly Worksheet tab.</t>
  </si>
  <si>
    <t>Estimated Monthly Budget Worksheet - Fall 2025 Off Campus</t>
  </si>
  <si>
    <t>One-Time Income</t>
  </si>
  <si>
    <t>Financial Aid Refund</t>
  </si>
  <si>
    <t>Leisure - Games &amp; Online</t>
  </si>
  <si>
    <t>Pets - Food</t>
  </si>
  <si>
    <t>Pets - Grooming/Care</t>
  </si>
  <si>
    <t>Pets - Vet/Medical</t>
  </si>
  <si>
    <t xml:space="preserve">Total Monthly Income </t>
  </si>
  <si>
    <t>Total One-Time Income</t>
  </si>
  <si>
    <t>Education - School Supplies</t>
  </si>
  <si>
    <t>One-Time Income &amp; Expenses</t>
  </si>
  <si>
    <t>Type of Income</t>
  </si>
  <si>
    <t>Security Deposit</t>
  </si>
  <si>
    <t>Pet Deposit</t>
  </si>
  <si>
    <t>Furniture</t>
  </si>
  <si>
    <t>One-Time Expenses</t>
  </si>
  <si>
    <t>Textbooks &amp; Course Materials</t>
  </si>
  <si>
    <t>Total One-Time Expenses</t>
  </si>
  <si>
    <t>Type of Expense</t>
  </si>
  <si>
    <t>Monthly Income &amp; Expenses</t>
  </si>
  <si>
    <t>Saved One-Time Funding</t>
  </si>
  <si>
    <t>Any leftover one-time funding can be saved toward monthly expenses.</t>
  </si>
  <si>
    <t>Unexpected Expenses*</t>
  </si>
  <si>
    <t>Budget-Actual</t>
  </si>
  <si>
    <t>Carry Forward (To Next Month)</t>
  </si>
  <si>
    <t>Housing - Utilities</t>
  </si>
  <si>
    <t>Set aside for emergencies (hospital visits, car breaks down, etc.)</t>
  </si>
  <si>
    <t>Parents/Family/529</t>
  </si>
  <si>
    <t>Total Monthly Expenses</t>
  </si>
  <si>
    <t>Wiggle room for when things happen that you cannot pre-plan for!</t>
  </si>
  <si>
    <t>Income - Expenses</t>
  </si>
  <si>
    <t>Budget - Actual</t>
  </si>
  <si>
    <t>Income - Expenses Total</t>
  </si>
  <si>
    <t>Income - Expenses/Month</t>
  </si>
  <si>
    <t>2425 Rate</t>
  </si>
  <si>
    <t>2024-2025 rates with 3% buffer</t>
  </si>
  <si>
    <t>2425 Rates</t>
  </si>
  <si>
    <t>2425 rates with 3% buffer</t>
  </si>
  <si>
    <r>
      <rPr>
        <b/>
        <sz val="12"/>
        <color theme="1"/>
        <rFont val="Calibri"/>
        <family val="2"/>
        <scheme val="minor"/>
      </rPr>
      <t xml:space="preserve">Note: This tool is for planning purposes only and includes </t>
    </r>
    <r>
      <rPr>
        <b/>
        <u/>
        <sz val="12"/>
        <color theme="1"/>
        <rFont val="Calibri"/>
        <family val="2"/>
        <scheme val="minor"/>
      </rPr>
      <t>estimated rates and costs</t>
    </r>
    <r>
      <rPr>
        <b/>
        <sz val="12"/>
        <color theme="1"/>
        <rFont val="Calibri"/>
        <family val="2"/>
        <scheme val="minor"/>
      </rPr>
      <t>!</t>
    </r>
    <r>
      <rPr>
        <sz val="12"/>
        <color theme="1"/>
        <rFont val="Calibri"/>
        <family val="2"/>
        <scheme val="minor"/>
      </rPr>
      <t xml:space="preserve"> Official rates will be posted to the CMU website. View your account activity and billing statement in the ePay app in MAVzone.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</si>
</sst>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3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11"/>
      <color theme="1"/>
      <name val="Calibri"/>
      <family val="2"/>
      <scheme val="minor"/>
    </font>
    <font>
      <b/>
      <i/>
      <sz val="11"/>
      <name val="Calibri"/>
      <family val="2"/>
      <scheme val="minor"/>
    </font>
    <font>
      <b/>
      <sz val="11"/>
      <name val="Calibri"/>
      <family val="2"/>
      <scheme val="minor"/>
    </font>
    <font>
      <sz val="11"/>
      <name val="Calibri"/>
      <family val="2"/>
      <scheme val="minor"/>
    </font>
    <font>
      <b/>
      <i/>
      <sz val="14"/>
      <color theme="1"/>
      <name val="Calibri"/>
      <family val="2"/>
      <scheme val="minor"/>
    </font>
    <font>
      <b/>
      <sz val="12"/>
      <color theme="0"/>
      <name val="Calibri"/>
      <family val="2"/>
      <scheme val="minor"/>
    </font>
    <font>
      <sz val="9"/>
      <color indexed="81"/>
      <name val="Tahoma"/>
      <family val="2"/>
    </font>
    <font>
      <b/>
      <sz val="9"/>
      <color indexed="81"/>
      <name val="Tahoma"/>
      <family val="2"/>
    </font>
    <font>
      <i/>
      <sz val="11"/>
      <color theme="1"/>
      <name val="Calibri"/>
      <family val="2"/>
      <scheme val="minor"/>
    </font>
    <font>
      <b/>
      <sz val="10"/>
      <color rgb="FF5D0022"/>
      <name val="Calibri"/>
      <family val="2"/>
      <scheme val="minor"/>
    </font>
    <font>
      <b/>
      <sz val="12"/>
      <color theme="1"/>
      <name val="Calibri"/>
      <family val="2"/>
      <scheme val="minor"/>
    </font>
    <font>
      <sz val="8"/>
      <name val="Calibri"/>
      <family val="2"/>
      <scheme val="minor"/>
    </font>
    <font>
      <sz val="12"/>
      <color theme="1"/>
      <name val="Calibri"/>
      <family val="2"/>
      <scheme val="minor"/>
    </font>
    <font>
      <sz val="16"/>
      <color theme="1"/>
      <name val="Calibri"/>
      <family val="2"/>
      <scheme val="minor"/>
    </font>
    <font>
      <b/>
      <i/>
      <sz val="16"/>
      <color theme="1"/>
      <name val="Calibri"/>
      <family val="2"/>
      <scheme val="minor"/>
    </font>
    <font>
      <b/>
      <sz val="16"/>
      <color theme="1"/>
      <name val="Calibri"/>
      <family val="2"/>
      <scheme val="minor"/>
    </font>
    <font>
      <b/>
      <sz val="14"/>
      <color theme="0"/>
      <name val="Calibri"/>
      <family val="2"/>
      <scheme val="minor"/>
    </font>
    <font>
      <b/>
      <sz val="18"/>
      <color rgb="FFFF0000"/>
      <name val="Calibri"/>
      <family val="2"/>
      <scheme val="minor"/>
    </font>
    <font>
      <u/>
      <sz val="11"/>
      <color theme="10"/>
      <name val="Calibri"/>
      <family val="2"/>
      <scheme val="minor"/>
    </font>
    <font>
      <b/>
      <u/>
      <sz val="10"/>
      <color rgb="FF5D0022"/>
      <name val="Calibri"/>
      <family val="2"/>
      <scheme val="minor"/>
    </font>
    <font>
      <i/>
      <sz val="10"/>
      <name val="Calibri"/>
      <family val="2"/>
      <scheme val="minor"/>
    </font>
    <font>
      <i/>
      <sz val="10"/>
      <color theme="1"/>
      <name val="Calibri"/>
      <family val="2"/>
      <scheme val="minor"/>
    </font>
    <font>
      <b/>
      <sz val="10"/>
      <color theme="1"/>
      <name val="Calibri"/>
      <family val="2"/>
      <scheme val="minor"/>
    </font>
    <font>
      <b/>
      <u/>
      <sz val="11"/>
      <color theme="1"/>
      <name val="Calibri"/>
      <family val="2"/>
      <scheme val="minor"/>
    </font>
    <font>
      <sz val="10"/>
      <name val="Arial"/>
    </font>
    <font>
      <sz val="9"/>
      <name val="Arial"/>
      <family val="2"/>
    </font>
    <font>
      <b/>
      <sz val="9"/>
      <color indexed="10"/>
      <name val="Arial"/>
      <family val="2"/>
    </font>
    <font>
      <sz val="9"/>
      <color indexed="10"/>
      <name val="Arial"/>
      <family val="2"/>
    </font>
    <font>
      <sz val="9"/>
      <name val="Calibri"/>
      <family val="2"/>
      <scheme val="minor"/>
    </font>
    <font>
      <sz val="9"/>
      <color indexed="10"/>
      <name val="Calibri"/>
      <family val="2"/>
      <scheme val="minor"/>
    </font>
    <font>
      <b/>
      <i/>
      <sz val="12"/>
      <color rgb="FF5D0022"/>
      <name val="Calibri"/>
      <family val="2"/>
      <scheme val="minor"/>
    </font>
    <font>
      <b/>
      <sz val="12"/>
      <color rgb="FF660033"/>
      <name val="Calibri"/>
      <family val="2"/>
      <scheme val="minor"/>
    </font>
    <font>
      <b/>
      <u/>
      <sz val="12"/>
      <color theme="1"/>
      <name val="Calibri"/>
      <family val="2"/>
      <scheme val="minor"/>
    </font>
  </fonts>
  <fills count="17">
    <fill>
      <patternFill patternType="none"/>
    </fill>
    <fill>
      <patternFill patternType="gray125"/>
    </fill>
    <fill>
      <patternFill patternType="solid">
        <fgColor rgb="FF5D0022"/>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rgb="FF99FFCC"/>
        <bgColor indexed="64"/>
      </patternFill>
    </fill>
    <fill>
      <patternFill patternType="solid">
        <fgColor rgb="FFFFD28F"/>
        <bgColor indexed="64"/>
      </patternFill>
    </fill>
    <fill>
      <patternFill patternType="solid">
        <fgColor rgb="FFE0C1FF"/>
        <bgColor indexed="64"/>
      </patternFill>
    </fill>
    <fill>
      <patternFill patternType="solid">
        <fgColor rgb="FFFFABAD"/>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7" tint="0.79998168889431442"/>
        <bgColor indexed="64"/>
      </patternFill>
    </fill>
  </fills>
  <borders count="65">
    <border>
      <left/>
      <right/>
      <top/>
      <bottom/>
      <diagonal/>
    </border>
    <border>
      <left style="medium">
        <color indexed="64"/>
      </left>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medium">
        <color indexed="64"/>
      </right>
      <top style="double">
        <color indexed="64"/>
      </top>
      <bottom/>
      <diagonal/>
    </border>
    <border>
      <left style="medium">
        <color indexed="64"/>
      </left>
      <right/>
      <top/>
      <bottom style="double">
        <color indexed="64"/>
      </bottom>
      <diagonal/>
    </border>
    <border>
      <left style="thin">
        <color indexed="64"/>
      </left>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top style="thin">
        <color indexed="64"/>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8" fillId="0" borderId="0"/>
  </cellStyleXfs>
  <cellXfs count="373">
    <xf numFmtId="0" fontId="0" fillId="0" borderId="0" xfId="0"/>
    <xf numFmtId="0" fontId="0" fillId="0" borderId="2" xfId="0" applyBorder="1"/>
    <xf numFmtId="0" fontId="0" fillId="0" borderId="1" xfId="0" applyBorder="1"/>
    <xf numFmtId="0" fontId="0" fillId="0" borderId="14" xfId="0" applyBorder="1"/>
    <xf numFmtId="0" fontId="6" fillId="0" borderId="21" xfId="0" applyFont="1" applyBorder="1" applyAlignment="1">
      <alignment horizontal="right"/>
    </xf>
    <xf numFmtId="44" fontId="0" fillId="0" borderId="10" xfId="0" applyNumberFormat="1" applyBorder="1"/>
    <xf numFmtId="0" fontId="3" fillId="0" borderId="0" xfId="0" applyFont="1" applyAlignment="1">
      <alignment horizontal="center"/>
    </xf>
    <xf numFmtId="0" fontId="0" fillId="0" borderId="19" xfId="0" applyBorder="1"/>
    <xf numFmtId="0" fontId="3" fillId="0" borderId="10" xfId="0" applyFont="1" applyBorder="1" applyAlignment="1">
      <alignment horizontal="right"/>
    </xf>
    <xf numFmtId="44" fontId="0" fillId="3" borderId="10" xfId="0" applyNumberFormat="1" applyFill="1" applyBorder="1"/>
    <xf numFmtId="44" fontId="0" fillId="0" borderId="10" xfId="0" applyNumberFormat="1" applyBorder="1" applyAlignment="1">
      <alignment horizontal="center"/>
    </xf>
    <xf numFmtId="0" fontId="0" fillId="8" borderId="25" xfId="0" applyFill="1" applyBorder="1"/>
    <xf numFmtId="0" fontId="3" fillId="0" borderId="16" xfId="0" applyFont="1" applyBorder="1" applyAlignment="1">
      <alignment horizontal="right"/>
    </xf>
    <xf numFmtId="0" fontId="6" fillId="0" borderId="9" xfId="0" applyFont="1" applyBorder="1" applyAlignment="1">
      <alignment horizontal="center" wrapText="1"/>
    </xf>
    <xf numFmtId="0" fontId="3" fillId="0" borderId="14" xfId="0" applyFont="1" applyBorder="1" applyAlignment="1">
      <alignment horizontal="right"/>
    </xf>
    <xf numFmtId="0" fontId="6" fillId="0" borderId="27" xfId="0" applyFont="1" applyBorder="1" applyAlignment="1">
      <alignment horizontal="center" wrapText="1"/>
    </xf>
    <xf numFmtId="44" fontId="0" fillId="0" borderId="15" xfId="0" applyNumberFormat="1" applyBorder="1"/>
    <xf numFmtId="44" fontId="6" fillId="0" borderId="29" xfId="0" applyNumberFormat="1" applyFont="1" applyBorder="1"/>
    <xf numFmtId="44" fontId="3" fillId="0" borderId="31" xfId="0" applyNumberFormat="1" applyFont="1" applyBorder="1"/>
    <xf numFmtId="0" fontId="3" fillId="0" borderId="27" xfId="0" applyFont="1" applyBorder="1" applyAlignment="1">
      <alignment horizontal="center"/>
    </xf>
    <xf numFmtId="44" fontId="2" fillId="4" borderId="2" xfId="0" applyNumberFormat="1" applyFont="1" applyFill="1" applyBorder="1"/>
    <xf numFmtId="0" fontId="5" fillId="3" borderId="2" xfId="0" applyFont="1" applyFill="1" applyBorder="1" applyAlignment="1">
      <alignment horizontal="center"/>
    </xf>
    <xf numFmtId="44" fontId="6" fillId="0" borderId="31" xfId="2" applyFont="1" applyFill="1" applyBorder="1" applyProtection="1">
      <protection hidden="1"/>
    </xf>
    <xf numFmtId="44" fontId="6" fillId="0" borderId="31" xfId="2" applyFont="1" applyFill="1" applyBorder="1" applyAlignment="1" applyProtection="1">
      <alignment horizontal="right"/>
      <protection hidden="1"/>
    </xf>
    <xf numFmtId="44" fontId="7" fillId="0" borderId="31" xfId="2" applyFont="1" applyFill="1" applyBorder="1" applyProtection="1">
      <protection hidden="1"/>
    </xf>
    <xf numFmtId="44" fontId="0" fillId="0" borderId="33" xfId="0" applyNumberFormat="1" applyBorder="1" applyAlignment="1">
      <alignment horizontal="center"/>
    </xf>
    <xf numFmtId="44" fontId="0" fillId="6" borderId="32" xfId="0" applyNumberFormat="1" applyFill="1" applyBorder="1" applyProtection="1">
      <protection locked="0"/>
    </xf>
    <xf numFmtId="44" fontId="0" fillId="10" borderId="10" xfId="2" applyFont="1" applyFill="1" applyBorder="1" applyProtection="1">
      <protection locked="0"/>
    </xf>
    <xf numFmtId="44" fontId="0" fillId="9" borderId="10" xfId="2" applyFont="1" applyFill="1" applyBorder="1" applyProtection="1">
      <protection locked="0"/>
    </xf>
    <xf numFmtId="44" fontId="0" fillId="12" borderId="10" xfId="2" applyFont="1" applyFill="1" applyBorder="1" applyProtection="1">
      <protection locked="0"/>
    </xf>
    <xf numFmtId="0" fontId="0" fillId="13" borderId="10" xfId="0" applyFill="1" applyBorder="1" applyAlignment="1" applyProtection="1">
      <alignment horizontal="center"/>
      <protection locked="0"/>
    </xf>
    <xf numFmtId="0" fontId="0" fillId="13" borderId="15" xfId="0" applyFill="1" applyBorder="1" applyProtection="1">
      <protection locked="0"/>
    </xf>
    <xf numFmtId="0" fontId="4" fillId="3" borderId="10" xfId="0" applyFont="1" applyFill="1" applyBorder="1" applyAlignment="1">
      <alignment horizontal="center"/>
    </xf>
    <xf numFmtId="44" fontId="0" fillId="0" borderId="32" xfId="0" applyNumberFormat="1" applyBorder="1"/>
    <xf numFmtId="44" fontId="0" fillId="0" borderId="10" xfId="2" applyFont="1" applyFill="1" applyBorder="1" applyProtection="1"/>
    <xf numFmtId="0" fontId="6" fillId="0" borderId="16" xfId="0" applyFont="1" applyBorder="1" applyAlignment="1">
      <alignment horizontal="right"/>
    </xf>
    <xf numFmtId="2" fontId="0" fillId="0" borderId="0" xfId="0" applyNumberFormat="1"/>
    <xf numFmtId="0" fontId="3" fillId="0" borderId="10" xfId="0" applyFont="1" applyBorder="1" applyAlignment="1">
      <alignment horizontal="center"/>
    </xf>
    <xf numFmtId="0" fontId="4" fillId="0" borderId="0" xfId="0" applyFont="1"/>
    <xf numFmtId="0" fontId="3" fillId="0" borderId="10" xfId="0" applyFont="1" applyBorder="1"/>
    <xf numFmtId="0" fontId="3" fillId="0" borderId="14" xfId="0" applyFont="1" applyBorder="1" applyAlignment="1">
      <alignment horizontal="center"/>
    </xf>
    <xf numFmtId="4" fontId="3" fillId="0" borderId="10" xfId="0" applyNumberFormat="1" applyFont="1" applyBorder="1" applyAlignment="1">
      <alignment horizontal="center"/>
    </xf>
    <xf numFmtId="0" fontId="3" fillId="0" borderId="15" xfId="0" applyFont="1" applyBorder="1" applyAlignment="1">
      <alignment horizontal="center"/>
    </xf>
    <xf numFmtId="44" fontId="0" fillId="0" borderId="0" xfId="0" applyNumberFormat="1"/>
    <xf numFmtId="0" fontId="0" fillId="0" borderId="10" xfId="0" applyBorder="1"/>
    <xf numFmtId="44" fontId="1" fillId="0" borderId="10" xfId="2" applyFont="1" applyFill="1" applyBorder="1"/>
    <xf numFmtId="44" fontId="0" fillId="0" borderId="10" xfId="2" applyFont="1" applyFill="1" applyBorder="1" applyAlignment="1">
      <alignment horizontal="right"/>
    </xf>
    <xf numFmtId="0" fontId="0" fillId="0" borderId="15" xfId="0" applyBorder="1"/>
    <xf numFmtId="0" fontId="0" fillId="0" borderId="20" xfId="0" applyBorder="1"/>
    <xf numFmtId="0" fontId="3" fillId="0" borderId="14" xfId="0" applyFont="1" applyBorder="1"/>
    <xf numFmtId="44" fontId="0" fillId="0" borderId="10" xfId="2" applyFont="1" applyFill="1" applyBorder="1"/>
    <xf numFmtId="44" fontId="0" fillId="0" borderId="33" xfId="2" applyFont="1" applyFill="1" applyBorder="1"/>
    <xf numFmtId="44" fontId="0" fillId="0" borderId="0" xfId="2" applyFont="1" applyFill="1" applyBorder="1" applyAlignment="1">
      <alignment horizontal="right"/>
    </xf>
    <xf numFmtId="43" fontId="3" fillId="0" borderId="10" xfId="1" applyFont="1" applyBorder="1" applyAlignment="1">
      <alignment horizontal="center"/>
    </xf>
    <xf numFmtId="44" fontId="0" fillId="0" borderId="10" xfId="2" applyFont="1" applyBorder="1"/>
    <xf numFmtId="44" fontId="0" fillId="0" borderId="33" xfId="0" applyNumberFormat="1" applyBorder="1"/>
    <xf numFmtId="0" fontId="0" fillId="0" borderId="40" xfId="0" applyBorder="1"/>
    <xf numFmtId="44" fontId="0" fillId="0" borderId="41" xfId="0" applyNumberFormat="1" applyBorder="1"/>
    <xf numFmtId="0" fontId="0" fillId="0" borderId="42" xfId="0" applyBorder="1"/>
    <xf numFmtId="0" fontId="0" fillId="0" borderId="43" xfId="0" applyBorder="1"/>
    <xf numFmtId="0" fontId="0" fillId="0" borderId="45" xfId="0" applyBorder="1"/>
    <xf numFmtId="164" fontId="1" fillId="0" borderId="10" xfId="2" applyNumberFormat="1" applyFont="1" applyBorder="1"/>
    <xf numFmtId="44" fontId="0" fillId="0" borderId="33" xfId="2" applyFont="1" applyBorder="1"/>
    <xf numFmtId="0" fontId="17" fillId="0" borderId="0" xfId="0" applyFont="1"/>
    <xf numFmtId="0" fontId="18" fillId="0" borderId="0" xfId="0" applyFont="1"/>
    <xf numFmtId="0" fontId="5" fillId="3" borderId="0" xfId="0" applyFont="1" applyFill="1" applyAlignment="1">
      <alignment horizontal="center"/>
    </xf>
    <xf numFmtId="0" fontId="0" fillId="0" borderId="15" xfId="0" applyBorder="1" applyAlignment="1">
      <alignment wrapText="1"/>
    </xf>
    <xf numFmtId="0" fontId="0" fillId="0" borderId="20" xfId="0" applyBorder="1" applyAlignment="1">
      <alignment wrapText="1"/>
    </xf>
    <xf numFmtId="44" fontId="3" fillId="0" borderId="29" xfId="0" applyNumberFormat="1" applyFont="1" applyBorder="1"/>
    <xf numFmtId="0" fontId="3" fillId="0" borderId="1" xfId="0" applyFont="1" applyBorder="1" applyAlignment="1">
      <alignment horizontal="center" vertical="top"/>
    </xf>
    <xf numFmtId="0" fontId="6" fillId="0" borderId="1" xfId="0" applyFont="1" applyBorder="1" applyAlignment="1">
      <alignment horizontal="center" wrapText="1"/>
    </xf>
    <xf numFmtId="0" fontId="6" fillId="0" borderId="1" xfId="0" applyFont="1" applyBorder="1" applyAlignment="1">
      <alignment horizontal="center" vertical="top" wrapText="1"/>
    </xf>
    <xf numFmtId="0" fontId="6" fillId="0" borderId="36" xfId="0" applyFont="1" applyBorder="1" applyAlignment="1">
      <alignment horizontal="center" vertical="top" wrapText="1"/>
    </xf>
    <xf numFmtId="0" fontId="3" fillId="0" borderId="7" xfId="0" applyFont="1" applyBorder="1" applyAlignment="1">
      <alignment horizontal="center" vertical="top"/>
    </xf>
    <xf numFmtId="44" fontId="0" fillId="7" borderId="10" xfId="2" applyFont="1" applyFill="1" applyBorder="1"/>
    <xf numFmtId="4" fontId="0" fillId="13" borderId="10" xfId="0" applyNumberFormat="1" applyFill="1" applyBorder="1"/>
    <xf numFmtId="44" fontId="0" fillId="11" borderId="10" xfId="2" applyFont="1" applyFill="1" applyBorder="1" applyAlignment="1">
      <alignment horizontal="right"/>
    </xf>
    <xf numFmtId="44" fontId="0" fillId="11" borderId="33" xfId="2" applyFont="1" applyFill="1" applyBorder="1" applyAlignment="1">
      <alignment horizontal="right"/>
    </xf>
    <xf numFmtId="44" fontId="0" fillId="6" borderId="10" xfId="2" applyFont="1" applyFill="1" applyBorder="1"/>
    <xf numFmtId="44" fontId="0" fillId="6" borderId="44" xfId="2" applyFont="1" applyFill="1" applyBorder="1"/>
    <xf numFmtId="2" fontId="0" fillId="6" borderId="10" xfId="2" applyNumberFormat="1" applyFont="1" applyFill="1" applyBorder="1"/>
    <xf numFmtId="2" fontId="0" fillId="6" borderId="33" xfId="2" applyNumberFormat="1" applyFont="1" applyFill="1" applyBorder="1"/>
    <xf numFmtId="44" fontId="0" fillId="6" borderId="33" xfId="2" applyFont="1" applyFill="1" applyBorder="1"/>
    <xf numFmtId="0" fontId="0" fillId="5" borderId="10" xfId="0" applyFill="1" applyBorder="1" applyAlignment="1">
      <alignment horizontal="center"/>
    </xf>
    <xf numFmtId="0" fontId="0" fillId="14" borderId="0" xfId="0" applyFill="1"/>
    <xf numFmtId="14" fontId="0" fillId="0" borderId="15" xfId="0" applyNumberFormat="1" applyBorder="1" applyAlignment="1">
      <alignment horizontal="center"/>
    </xf>
    <xf numFmtId="0" fontId="0" fillId="14" borderId="2" xfId="0" applyFill="1" applyBorder="1"/>
    <xf numFmtId="0" fontId="0" fillId="0" borderId="33" xfId="0" applyBorder="1"/>
    <xf numFmtId="0" fontId="0" fillId="5" borderId="20" xfId="0" applyFill="1" applyBorder="1" applyAlignment="1">
      <alignment horizontal="center"/>
    </xf>
    <xf numFmtId="0" fontId="21" fillId="0" borderId="0" xfId="0" applyFont="1"/>
    <xf numFmtId="44" fontId="0" fillId="0" borderId="0" xfId="2" applyFont="1" applyFill="1" applyBorder="1" applyAlignment="1">
      <alignment horizontal="center"/>
    </xf>
    <xf numFmtId="44" fontId="0" fillId="0" borderId="0" xfId="2" applyFont="1" applyFill="1" applyBorder="1" applyAlignment="1"/>
    <xf numFmtId="44" fontId="3" fillId="0" borderId="14" xfId="2" applyFont="1" applyFill="1" applyBorder="1" applyAlignment="1">
      <alignment horizontal="center"/>
    </xf>
    <xf numFmtId="44" fontId="0" fillId="11" borderId="19" xfId="2" applyFont="1" applyFill="1" applyBorder="1" applyAlignment="1">
      <alignment horizontal="center"/>
    </xf>
    <xf numFmtId="0" fontId="12" fillId="0" borderId="1" xfId="0" applyFont="1" applyBorder="1" applyAlignment="1">
      <alignment horizontal="left" vertical="center" wrapText="1"/>
    </xf>
    <xf numFmtId="0" fontId="0" fillId="12" borderId="10" xfId="0" applyFill="1" applyBorder="1"/>
    <xf numFmtId="0" fontId="0" fillId="12" borderId="33" xfId="0" applyFill="1" applyBorder="1"/>
    <xf numFmtId="14" fontId="3" fillId="15" borderId="46" xfId="0" applyNumberFormat="1" applyFont="1" applyFill="1" applyBorder="1" applyAlignment="1">
      <alignment horizontal="center"/>
    </xf>
    <xf numFmtId="14" fontId="3" fillId="15" borderId="10" xfId="0" applyNumberFormat="1" applyFont="1" applyFill="1" applyBorder="1" applyAlignment="1">
      <alignment horizontal="center"/>
    </xf>
    <xf numFmtId="0" fontId="0" fillId="0" borderId="14" xfId="0" applyBorder="1" applyAlignment="1">
      <alignment horizontal="left"/>
    </xf>
    <xf numFmtId="0" fontId="0" fillId="0" borderId="15" xfId="0" applyBorder="1" applyAlignment="1">
      <alignment horizontal="left"/>
    </xf>
    <xf numFmtId="0" fontId="0" fillId="0" borderId="19" xfId="0" applyBorder="1" applyAlignment="1">
      <alignment horizontal="left"/>
    </xf>
    <xf numFmtId="0" fontId="0" fillId="0" borderId="56" xfId="0" applyBorder="1" applyAlignment="1">
      <alignment horizontal="left"/>
    </xf>
    <xf numFmtId="0" fontId="0" fillId="0" borderId="25" xfId="0" applyBorder="1"/>
    <xf numFmtId="0" fontId="0" fillId="0" borderId="57" xfId="0" applyBorder="1"/>
    <xf numFmtId="44" fontId="0" fillId="11" borderId="58" xfId="2" applyFont="1" applyFill="1" applyBorder="1" applyAlignment="1">
      <alignment horizontal="right"/>
    </xf>
    <xf numFmtId="0" fontId="0" fillId="0" borderId="32" xfId="0" applyBorder="1"/>
    <xf numFmtId="0" fontId="26" fillId="0" borderId="1" xfId="0" applyFont="1" applyBorder="1" applyAlignment="1">
      <alignment horizontal="center" vertical="top"/>
    </xf>
    <xf numFmtId="0" fontId="29" fillId="0" borderId="0" xfId="4" applyFont="1"/>
    <xf numFmtId="0" fontId="28" fillId="0" borderId="0" xfId="4" applyAlignment="1">
      <alignment wrapText="1"/>
    </xf>
    <xf numFmtId="0" fontId="31" fillId="0" borderId="0" xfId="4" applyFont="1" applyAlignment="1">
      <alignment wrapText="1"/>
    </xf>
    <xf numFmtId="0" fontId="6" fillId="0" borderId="0" xfId="0" applyFont="1" applyAlignment="1">
      <alignment horizontal="center" wrapText="1"/>
    </xf>
    <xf numFmtId="0" fontId="6" fillId="0" borderId="2" xfId="0" applyFont="1" applyBorder="1" applyAlignment="1">
      <alignment horizontal="center" wrapText="1"/>
    </xf>
    <xf numFmtId="0" fontId="0" fillId="0" borderId="43" xfId="0" applyBorder="1" applyAlignment="1">
      <alignment horizontal="left"/>
    </xf>
    <xf numFmtId="0" fontId="0" fillId="0" borderId="14" xfId="0" applyBorder="1" applyAlignment="1" applyProtection="1">
      <alignment horizontal="left"/>
      <protection locked="0"/>
    </xf>
    <xf numFmtId="0" fontId="3" fillId="0" borderId="40" xfId="0" applyFont="1" applyBorder="1" applyAlignment="1">
      <alignment horizontal="left"/>
    </xf>
    <xf numFmtId="0" fontId="3" fillId="0" borderId="56" xfId="0" applyFont="1" applyBorder="1" applyAlignment="1">
      <alignment horizontal="left"/>
    </xf>
    <xf numFmtId="0" fontId="3" fillId="0" borderId="2" xfId="0" applyFont="1" applyBorder="1" applyAlignment="1">
      <alignment horizontal="center"/>
    </xf>
    <xf numFmtId="0" fontId="0" fillId="0" borderId="15" xfId="0" applyBorder="1" applyProtection="1">
      <protection locked="0"/>
    </xf>
    <xf numFmtId="44" fontId="1" fillId="0" borderId="10" xfId="4" applyNumberFormat="1" applyFont="1" applyBorder="1"/>
    <xf numFmtId="44" fontId="1" fillId="0" borderId="11" xfId="4" applyNumberFormat="1" applyFont="1" applyBorder="1" applyProtection="1">
      <protection locked="0"/>
    </xf>
    <xf numFmtId="44" fontId="1" fillId="0" borderId="60" xfId="4" applyNumberFormat="1" applyFont="1" applyBorder="1" applyProtection="1">
      <protection locked="0"/>
    </xf>
    <xf numFmtId="44" fontId="3" fillId="0" borderId="41" xfId="4" applyNumberFormat="1" applyFont="1" applyBorder="1"/>
    <xf numFmtId="44" fontId="3" fillId="0" borderId="41" xfId="2" applyFont="1" applyBorder="1"/>
    <xf numFmtId="44" fontId="3" fillId="0" borderId="47" xfId="4" applyNumberFormat="1" applyFont="1" applyBorder="1" applyProtection="1">
      <protection locked="0"/>
    </xf>
    <xf numFmtId="44" fontId="0" fillId="0" borderId="10" xfId="4" applyNumberFormat="1" applyFont="1" applyBorder="1" applyProtection="1">
      <protection locked="0"/>
    </xf>
    <xf numFmtId="44" fontId="0" fillId="0" borderId="44" xfId="4" applyNumberFormat="1" applyFont="1" applyBorder="1" applyProtection="1">
      <protection locked="0"/>
    </xf>
    <xf numFmtId="44" fontId="7" fillId="0" borderId="10" xfId="2" applyFont="1" applyBorder="1" applyProtection="1"/>
    <xf numFmtId="44" fontId="7" fillId="0" borderId="44" xfId="2" applyFont="1" applyBorder="1" applyProtection="1"/>
    <xf numFmtId="44" fontId="3" fillId="0" borderId="25" xfId="4" applyNumberFormat="1" applyFont="1" applyBorder="1"/>
    <xf numFmtId="44" fontId="1" fillId="16" borderId="10" xfId="2" applyFont="1" applyFill="1" applyBorder="1" applyAlignment="1"/>
    <xf numFmtId="44" fontId="1" fillId="16" borderId="10" xfId="2" applyFont="1" applyFill="1" applyBorder="1"/>
    <xf numFmtId="44" fontId="1" fillId="16" borderId="10" xfId="4" applyNumberFormat="1" applyFont="1" applyFill="1" applyBorder="1"/>
    <xf numFmtId="44" fontId="1" fillId="16" borderId="44" xfId="4" applyNumberFormat="1" applyFont="1" applyFill="1" applyBorder="1"/>
    <xf numFmtId="44" fontId="1" fillId="16" borderId="44" xfId="2" applyFont="1" applyFill="1" applyBorder="1"/>
    <xf numFmtId="44" fontId="0" fillId="16" borderId="10" xfId="4" applyNumberFormat="1" applyFont="1" applyFill="1" applyBorder="1"/>
    <xf numFmtId="44" fontId="0" fillId="16" borderId="10" xfId="2" applyFont="1" applyFill="1" applyBorder="1"/>
    <xf numFmtId="44" fontId="0" fillId="16" borderId="44" xfId="4" applyNumberFormat="1" applyFont="1" applyFill="1" applyBorder="1"/>
    <xf numFmtId="44" fontId="0" fillId="16" borderId="44" xfId="2" applyFont="1" applyFill="1" applyBorder="1"/>
    <xf numFmtId="0" fontId="30" fillId="0" borderId="58" xfId="4" applyFont="1" applyBorder="1" applyProtection="1">
      <protection locked="0"/>
    </xf>
    <xf numFmtId="44" fontId="7" fillId="16" borderId="10" xfId="2" applyFont="1" applyFill="1" applyBorder="1" applyProtection="1">
      <protection locked="0"/>
    </xf>
    <xf numFmtId="44" fontId="7" fillId="16" borderId="44" xfId="2" applyFont="1" applyFill="1" applyBorder="1" applyProtection="1">
      <protection locked="0"/>
    </xf>
    <xf numFmtId="0" fontId="32" fillId="16" borderId="15" xfId="4" applyFont="1" applyFill="1" applyBorder="1" applyProtection="1">
      <protection locked="0"/>
    </xf>
    <xf numFmtId="0" fontId="32" fillId="16" borderId="45" xfId="4" applyFont="1" applyFill="1" applyBorder="1" applyProtection="1">
      <protection locked="0"/>
    </xf>
    <xf numFmtId="0" fontId="32" fillId="16" borderId="42" xfId="4" applyFont="1" applyFill="1" applyBorder="1" applyProtection="1">
      <protection locked="0"/>
    </xf>
    <xf numFmtId="0" fontId="32" fillId="16" borderId="59" xfId="4" applyFont="1" applyFill="1" applyBorder="1" applyProtection="1">
      <protection locked="0"/>
    </xf>
    <xf numFmtId="0" fontId="33" fillId="0" borderId="0" xfId="4" applyFont="1" applyAlignment="1">
      <alignment wrapText="1"/>
    </xf>
    <xf numFmtId="0" fontId="3" fillId="0" borderId="1" xfId="0" applyFont="1" applyBorder="1" applyAlignment="1">
      <alignment horizontal="center"/>
    </xf>
    <xf numFmtId="44" fontId="7" fillId="0" borderId="10" xfId="2" applyFont="1" applyBorder="1" applyProtection="1">
      <protection locked="0"/>
    </xf>
    <xf numFmtId="4" fontId="6" fillId="0" borderId="0" xfId="4" applyNumberFormat="1" applyFont="1" applyAlignment="1">
      <alignment horizontal="center"/>
    </xf>
    <xf numFmtId="4" fontId="6" fillId="0" borderId="2" xfId="4" applyNumberFormat="1" applyFont="1" applyBorder="1" applyAlignment="1">
      <alignment horizontal="center"/>
    </xf>
    <xf numFmtId="0" fontId="7" fillId="0" borderId="14" xfId="4" applyFont="1" applyBorder="1"/>
    <xf numFmtId="0" fontId="32" fillId="16" borderId="15" xfId="4" applyFont="1" applyFill="1" applyBorder="1"/>
    <xf numFmtId="0" fontId="7" fillId="0" borderId="43" xfId="4" applyFont="1" applyBorder="1"/>
    <xf numFmtId="0" fontId="32" fillId="16" borderId="45" xfId="4" applyFont="1" applyFill="1" applyBorder="1"/>
    <xf numFmtId="0" fontId="32" fillId="16" borderId="42" xfId="4" applyFont="1" applyFill="1" applyBorder="1"/>
    <xf numFmtId="0" fontId="6" fillId="0" borderId="40" xfId="4" applyFont="1" applyBorder="1" applyAlignment="1">
      <alignment wrapText="1"/>
    </xf>
    <xf numFmtId="44" fontId="6" fillId="0" borderId="41" xfId="2" applyFont="1" applyBorder="1"/>
    <xf numFmtId="0" fontId="32" fillId="16" borderId="15" xfId="4" applyFont="1" applyFill="1" applyBorder="1" applyAlignment="1">
      <alignment horizontal="left"/>
    </xf>
    <xf numFmtId="0" fontId="33" fillId="16" borderId="15" xfId="4" applyFont="1" applyFill="1" applyBorder="1" applyAlignment="1">
      <alignment wrapText="1"/>
    </xf>
    <xf numFmtId="44" fontId="7" fillId="0" borderId="44" xfId="2" applyFont="1" applyBorder="1" applyProtection="1">
      <protection locked="0"/>
    </xf>
    <xf numFmtId="0" fontId="33" fillId="16" borderId="45" xfId="4" applyFont="1" applyFill="1" applyBorder="1" applyAlignment="1">
      <alignment wrapText="1"/>
    </xf>
    <xf numFmtId="0" fontId="6" fillId="0" borderId="56" xfId="4" applyFont="1" applyBorder="1"/>
    <xf numFmtId="44" fontId="5" fillId="0" borderId="25" xfId="2" applyFont="1" applyBorder="1" applyAlignment="1">
      <alignment horizontal="center"/>
    </xf>
    <xf numFmtId="0" fontId="32" fillId="16" borderId="59" xfId="4" applyFont="1" applyFill="1" applyBorder="1"/>
    <xf numFmtId="0" fontId="32" fillId="16" borderId="64" xfId="4" applyFont="1" applyFill="1" applyBorder="1"/>
    <xf numFmtId="0" fontId="34" fillId="0" borderId="19" xfId="0" applyFont="1" applyBorder="1" applyAlignment="1">
      <alignment horizontal="left"/>
    </xf>
    <xf numFmtId="44" fontId="34" fillId="0" borderId="33" xfId="4" applyNumberFormat="1" applyFont="1" applyBorder="1"/>
    <xf numFmtId="44" fontId="34" fillId="0" borderId="33" xfId="0" applyNumberFormat="1" applyFont="1" applyBorder="1"/>
    <xf numFmtId="0" fontId="34" fillId="0" borderId="17" xfId="0" applyFont="1" applyBorder="1" applyAlignment="1">
      <alignment horizontal="left"/>
    </xf>
    <xf numFmtId="44" fontId="34" fillId="0" borderId="39" xfId="4" applyNumberFormat="1" applyFont="1" applyBorder="1"/>
    <xf numFmtId="44" fontId="34" fillId="0" borderId="39" xfId="0" applyNumberFormat="1" applyFont="1" applyBorder="1"/>
    <xf numFmtId="0" fontId="35" fillId="0" borderId="62" xfId="4" applyFont="1" applyBorder="1" applyAlignment="1">
      <alignment horizontal="left"/>
    </xf>
    <xf numFmtId="44" fontId="35" fillId="0" borderId="63" xfId="2" applyFont="1" applyBorder="1"/>
    <xf numFmtId="2" fontId="0" fillId="0" borderId="10" xfId="0" applyNumberFormat="1" applyBorder="1"/>
    <xf numFmtId="4" fontId="0" fillId="13" borderId="15" xfId="0" applyNumberFormat="1" applyFill="1" applyBorder="1"/>
    <xf numFmtId="2" fontId="0" fillId="13" borderId="15" xfId="0" applyNumberFormat="1" applyFill="1" applyBorder="1"/>
    <xf numFmtId="4" fontId="0" fillId="13" borderId="33" xfId="0" applyNumberFormat="1" applyFill="1" applyBorder="1"/>
    <xf numFmtId="2" fontId="0" fillId="0" borderId="33" xfId="0" applyNumberFormat="1" applyBorder="1"/>
    <xf numFmtId="2" fontId="0" fillId="13" borderId="20" xfId="0" applyNumberFormat="1" applyFill="1" applyBorder="1"/>
    <xf numFmtId="44" fontId="0" fillId="11" borderId="15" xfId="2" applyFont="1" applyFill="1" applyBorder="1" applyAlignment="1">
      <alignment horizontal="right"/>
    </xf>
    <xf numFmtId="44" fontId="0" fillId="11" borderId="20" xfId="2" applyFont="1" applyFill="1" applyBorder="1" applyAlignment="1">
      <alignment horizontal="right"/>
    </xf>
    <xf numFmtId="0" fontId="0" fillId="0" borderId="0" xfId="0"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8" xfId="0" applyBorder="1" applyAlignment="1">
      <alignment horizontal="left" vertical="top" wrapText="1"/>
    </xf>
    <xf numFmtId="0" fontId="26" fillId="0" borderId="1" xfId="0" applyFont="1" applyBorder="1" applyAlignment="1">
      <alignment horizontal="center" vertical="top"/>
    </xf>
    <xf numFmtId="0" fontId="26" fillId="0" borderId="7" xfId="0" applyFont="1" applyBorder="1" applyAlignment="1">
      <alignment horizontal="center" vertical="top"/>
    </xf>
    <xf numFmtId="0" fontId="7" fillId="9" borderId="28" xfId="0" applyFont="1" applyFill="1" applyBorder="1" applyAlignment="1" applyProtection="1">
      <alignment horizontal="left"/>
      <protection locked="0"/>
    </xf>
    <xf numFmtId="0" fontId="7" fillId="9" borderId="12" xfId="0" applyFont="1" applyFill="1" applyBorder="1" applyAlignment="1" applyProtection="1">
      <alignment horizontal="left"/>
      <protection locked="0"/>
    </xf>
    <xf numFmtId="0" fontId="7" fillId="9" borderId="11" xfId="0" applyFont="1" applyFill="1" applyBorder="1" applyAlignment="1" applyProtection="1">
      <alignment horizontal="center"/>
      <protection locked="0"/>
    </xf>
    <xf numFmtId="0" fontId="7" fillId="9" borderId="13" xfId="0" applyFont="1" applyFill="1" applyBorder="1" applyAlignment="1" applyProtection="1">
      <alignment horizontal="center"/>
      <protection locked="0"/>
    </xf>
    <xf numFmtId="0" fontId="0" fillId="0" borderId="28" xfId="0" applyBorder="1" applyAlignment="1" applyProtection="1">
      <alignment horizontal="left" wrapText="1"/>
      <protection locked="0"/>
    </xf>
    <xf numFmtId="0" fontId="0" fillId="0" borderId="12" xfId="0" applyBorder="1" applyAlignment="1" applyProtection="1">
      <alignment horizontal="left" wrapText="1"/>
      <protection locked="0"/>
    </xf>
    <xf numFmtId="0" fontId="0" fillId="0" borderId="13" xfId="0" applyBorder="1" applyAlignment="1" applyProtection="1">
      <alignment horizontal="left" wrapText="1"/>
      <protection locked="0"/>
    </xf>
    <xf numFmtId="0" fontId="3" fillId="12" borderId="51" xfId="0" applyFont="1" applyFill="1" applyBorder="1" applyAlignment="1">
      <alignment horizontal="center" vertical="top" wrapText="1"/>
    </xf>
    <xf numFmtId="0" fontId="3" fillId="12" borderId="52" xfId="0" applyFont="1" applyFill="1" applyBorder="1" applyAlignment="1">
      <alignment horizontal="center" vertical="top" wrapText="1"/>
    </xf>
    <xf numFmtId="0" fontId="3" fillId="12" borderId="53" xfId="0" applyFont="1" applyFill="1" applyBorder="1" applyAlignment="1">
      <alignment horizontal="center" vertical="top" wrapText="1"/>
    </xf>
    <xf numFmtId="0" fontId="0" fillId="0" borderId="34" xfId="0" applyBorder="1" applyAlignment="1">
      <alignment horizontal="center"/>
    </xf>
    <xf numFmtId="0" fontId="0" fillId="0" borderId="35" xfId="0" applyBorder="1" applyAlignment="1">
      <alignment horizontal="center"/>
    </xf>
    <xf numFmtId="0" fontId="0" fillId="0" borderId="24" xfId="0" applyBorder="1" applyAlignment="1">
      <alignment horizontal="left"/>
    </xf>
    <xf numFmtId="0" fontId="0" fillId="0" borderId="0" xfId="0" applyAlignment="1">
      <alignment horizontal="left"/>
    </xf>
    <xf numFmtId="0" fontId="0" fillId="0" borderId="2" xfId="0" applyBorder="1" applyAlignment="1">
      <alignment horizontal="left"/>
    </xf>
    <xf numFmtId="0" fontId="0" fillId="0" borderId="47" xfId="0" applyBorder="1" applyAlignment="1">
      <alignment horizontal="left"/>
    </xf>
    <xf numFmtId="0" fontId="0" fillId="0" borderId="5" xfId="0" applyBorder="1" applyAlignment="1">
      <alignment horizontal="left"/>
    </xf>
    <xf numFmtId="0" fontId="0" fillId="0" borderId="8" xfId="0" applyBorder="1" applyAlignment="1">
      <alignment horizontal="left"/>
    </xf>
    <xf numFmtId="0" fontId="8" fillId="0" borderId="50" xfId="0" applyFont="1" applyBorder="1" applyAlignment="1">
      <alignment horizontal="center" vertical="center"/>
    </xf>
    <xf numFmtId="0" fontId="8" fillId="0" borderId="37" xfId="0" applyFont="1" applyBorder="1" applyAlignment="1">
      <alignment horizontal="center" vertical="center"/>
    </xf>
    <xf numFmtId="0" fontId="8" fillId="0" borderId="48" xfId="0" applyFont="1" applyBorder="1" applyAlignment="1">
      <alignment horizontal="center" vertical="center"/>
    </xf>
    <xf numFmtId="0" fontId="8" fillId="0" borderId="24" xfId="0" applyFont="1" applyBorder="1" applyAlignment="1">
      <alignment horizontal="center" vertical="center"/>
    </xf>
    <xf numFmtId="0" fontId="8" fillId="0" borderId="0" xfId="0" applyFont="1" applyAlignment="1">
      <alignment horizontal="center" vertical="center"/>
    </xf>
    <xf numFmtId="0" fontId="8" fillId="0" borderId="2" xfId="0" applyFont="1" applyBorder="1" applyAlignment="1">
      <alignment horizontal="center" vertical="center"/>
    </xf>
    <xf numFmtId="0" fontId="2" fillId="4" borderId="36" xfId="0" applyFont="1" applyFill="1" applyBorder="1" applyAlignment="1">
      <alignment horizontal="right"/>
    </xf>
    <xf numFmtId="0" fontId="2" fillId="4" borderId="37" xfId="0" applyFont="1" applyFill="1" applyBorder="1" applyAlignment="1">
      <alignment horizontal="right"/>
    </xf>
    <xf numFmtId="0" fontId="9" fillId="2" borderId="1" xfId="0" applyFont="1" applyFill="1" applyBorder="1" applyAlignment="1">
      <alignment horizontal="center"/>
    </xf>
    <xf numFmtId="0" fontId="9" fillId="2" borderId="0" xfId="0" applyFont="1" applyFill="1" applyAlignment="1">
      <alignment horizontal="center"/>
    </xf>
    <xf numFmtId="0" fontId="9" fillId="2" borderId="2" xfId="0" applyFont="1" applyFill="1" applyBorder="1" applyAlignment="1">
      <alignment horizontal="center"/>
    </xf>
    <xf numFmtId="0" fontId="3" fillId="0" borderId="49" xfId="0" applyFont="1" applyBorder="1" applyAlignment="1">
      <alignment horizontal="right"/>
    </xf>
    <xf numFmtId="0" fontId="3" fillId="0" borderId="21" xfId="0" applyFont="1" applyBorder="1" applyAlignment="1">
      <alignment horizontal="right"/>
    </xf>
    <xf numFmtId="0" fontId="6" fillId="0" borderId="30" xfId="0" applyFont="1" applyBorder="1" applyAlignment="1">
      <alignment horizontal="right"/>
    </xf>
    <xf numFmtId="0" fontId="6" fillId="0" borderId="16" xfId="0" applyFont="1" applyBorder="1" applyAlignment="1">
      <alignment horizontal="right"/>
    </xf>
    <xf numFmtId="0" fontId="4" fillId="3" borderId="28" xfId="0" applyFont="1" applyFill="1" applyBorder="1" applyAlignment="1">
      <alignment horizontal="center"/>
    </xf>
    <xf numFmtId="0" fontId="4" fillId="3" borderId="13" xfId="0" applyFont="1" applyFill="1" applyBorder="1" applyAlignment="1">
      <alignment horizontal="center"/>
    </xf>
    <xf numFmtId="0" fontId="0" fillId="0" borderId="28" xfId="0" applyBorder="1" applyAlignment="1">
      <alignment horizontal="center"/>
    </xf>
    <xf numFmtId="0" fontId="0" fillId="0" borderId="13" xfId="0" applyBorder="1" applyAlignment="1">
      <alignment horizontal="center"/>
    </xf>
    <xf numFmtId="0" fontId="5" fillId="3" borderId="54" xfId="0" applyFont="1" applyFill="1" applyBorder="1" applyAlignment="1">
      <alignment horizontal="center"/>
    </xf>
    <xf numFmtId="0" fontId="5" fillId="3" borderId="55" xfId="0" applyFont="1" applyFill="1" applyBorder="1" applyAlignment="1">
      <alignment horizontal="center"/>
    </xf>
    <xf numFmtId="0" fontId="20" fillId="2" borderId="6" xfId="0" applyFont="1" applyFill="1" applyBorder="1" applyAlignment="1">
      <alignment horizontal="center"/>
    </xf>
    <xf numFmtId="0" fontId="20" fillId="2" borderId="3" xfId="0" applyFont="1" applyFill="1" applyBorder="1" applyAlignment="1">
      <alignment horizontal="center"/>
    </xf>
    <xf numFmtId="0" fontId="20" fillId="2" borderId="4" xfId="0" applyFont="1" applyFill="1" applyBorder="1" applyAlignment="1">
      <alignment horizontal="center"/>
    </xf>
    <xf numFmtId="0" fontId="3" fillId="9" borderId="51" xfId="0" applyFont="1" applyFill="1" applyBorder="1" applyAlignment="1">
      <alignment horizontal="center" vertical="top" wrapText="1"/>
    </xf>
    <xf numFmtId="0" fontId="3" fillId="9" borderId="52" xfId="0" applyFont="1" applyFill="1" applyBorder="1" applyAlignment="1">
      <alignment horizontal="center" vertical="top" wrapText="1"/>
    </xf>
    <xf numFmtId="0" fontId="3" fillId="9" borderId="53" xfId="0" applyFont="1" applyFill="1" applyBorder="1" applyAlignment="1">
      <alignment horizontal="center" vertical="top" wrapText="1"/>
    </xf>
    <xf numFmtId="0" fontId="3" fillId="13" borderId="51" xfId="0" applyFont="1" applyFill="1" applyBorder="1" applyAlignment="1">
      <alignment horizontal="center" vertical="top" wrapText="1"/>
    </xf>
    <xf numFmtId="0" fontId="3" fillId="13" borderId="52" xfId="0" applyFont="1" applyFill="1" applyBorder="1" applyAlignment="1">
      <alignment horizontal="center" vertical="top" wrapText="1"/>
    </xf>
    <xf numFmtId="0" fontId="3" fillId="13" borderId="53" xfId="0" applyFont="1" applyFill="1" applyBorder="1" applyAlignment="1">
      <alignment horizontal="center" vertical="top" wrapText="1"/>
    </xf>
    <xf numFmtId="0" fontId="0" fillId="6" borderId="51" xfId="0" applyFill="1" applyBorder="1" applyAlignment="1">
      <alignment horizontal="center" vertical="top" wrapText="1"/>
    </xf>
    <xf numFmtId="0" fontId="0" fillId="6" borderId="52" xfId="0" applyFill="1" applyBorder="1" applyAlignment="1">
      <alignment horizontal="center" vertical="top" wrapText="1"/>
    </xf>
    <xf numFmtId="0" fontId="0" fillId="6" borderId="53" xfId="0" applyFill="1" applyBorder="1" applyAlignment="1">
      <alignment horizontal="center" vertical="top" wrapText="1"/>
    </xf>
    <xf numFmtId="0" fontId="0" fillId="0" borderId="0" xfId="0" applyAlignment="1">
      <alignment wrapText="1"/>
    </xf>
    <xf numFmtId="0" fontId="0" fillId="0" borderId="2" xfId="0" applyBorder="1" applyAlignment="1">
      <alignment wrapText="1"/>
    </xf>
    <xf numFmtId="0" fontId="3" fillId="10" borderId="51" xfId="0" applyFont="1" applyFill="1" applyBorder="1" applyAlignment="1">
      <alignment horizontal="center" vertical="top" wrapText="1"/>
    </xf>
    <xf numFmtId="0" fontId="3" fillId="10" borderId="52" xfId="0" applyFont="1" applyFill="1" applyBorder="1" applyAlignment="1">
      <alignment horizontal="center" vertical="top" wrapText="1"/>
    </xf>
    <xf numFmtId="0" fontId="3" fillId="10" borderId="53" xfId="0" applyFont="1" applyFill="1" applyBorder="1" applyAlignment="1">
      <alignment horizontal="center" vertical="top" wrapText="1"/>
    </xf>
    <xf numFmtId="0" fontId="6" fillId="0" borderId="1" xfId="0" applyFont="1" applyBorder="1" applyAlignment="1">
      <alignment horizontal="center" vertical="top" wrapText="1"/>
    </xf>
    <xf numFmtId="0" fontId="3" fillId="7" borderId="51" xfId="0" applyFont="1" applyFill="1" applyBorder="1" applyAlignment="1">
      <alignment horizontal="center" vertical="top" wrapText="1"/>
    </xf>
    <xf numFmtId="0" fontId="3" fillId="7" borderId="52" xfId="0" applyFont="1" applyFill="1" applyBorder="1" applyAlignment="1">
      <alignment horizontal="center" vertical="top" wrapText="1"/>
    </xf>
    <xf numFmtId="0" fontId="3" fillId="7" borderId="53" xfId="0" applyFont="1" applyFill="1" applyBorder="1" applyAlignment="1">
      <alignment horizontal="center" vertical="top" wrapText="1"/>
    </xf>
    <xf numFmtId="0" fontId="0" fillId="0" borderId="48" xfId="0" applyBorder="1" applyAlignment="1">
      <alignment horizontal="left" vertical="top" wrapText="1"/>
    </xf>
    <xf numFmtId="0" fontId="0" fillId="0" borderId="0" xfId="0" applyAlignment="1">
      <alignment horizontal="left" wrapText="1"/>
    </xf>
    <xf numFmtId="0" fontId="0" fillId="0" borderId="2" xfId="0" applyBorder="1" applyAlignment="1">
      <alignment horizontal="left" wrapText="1"/>
    </xf>
    <xf numFmtId="0" fontId="19" fillId="0" borderId="6" xfId="0" applyFont="1" applyBorder="1" applyAlignment="1">
      <alignment horizontal="center" vertical="top"/>
    </xf>
    <xf numFmtId="0" fontId="19" fillId="0" borderId="3" xfId="0" applyFont="1" applyBorder="1" applyAlignment="1">
      <alignment horizontal="center" vertical="top"/>
    </xf>
    <xf numFmtId="0" fontId="19" fillId="0" borderId="4" xfId="0" applyFont="1" applyBorder="1" applyAlignment="1">
      <alignment horizontal="center" vertical="top"/>
    </xf>
    <xf numFmtId="0" fontId="0" fillId="13" borderId="11" xfId="0" applyFill="1" applyBorder="1" applyAlignment="1" applyProtection="1">
      <alignment horizontal="center"/>
      <protection locked="0"/>
    </xf>
    <xf numFmtId="0" fontId="0" fillId="13" borderId="13" xfId="0" applyFill="1" applyBorder="1" applyAlignment="1" applyProtection="1">
      <alignment horizontal="center"/>
      <protection locked="0"/>
    </xf>
    <xf numFmtId="0" fontId="0" fillId="0" borderId="28" xfId="0" applyBorder="1" applyAlignment="1">
      <alignment horizontal="left"/>
    </xf>
    <xf numFmtId="0" fontId="0" fillId="0" borderId="13" xfId="0" applyBorder="1" applyAlignment="1">
      <alignment horizontal="left"/>
    </xf>
    <xf numFmtId="0" fontId="0" fillId="13" borderId="10" xfId="0" applyFill="1" applyBorder="1" applyAlignment="1" applyProtection="1">
      <alignment horizontal="center"/>
      <protection locked="0"/>
    </xf>
    <xf numFmtId="0" fontId="0" fillId="13" borderId="15" xfId="0" applyFill="1" applyBorder="1" applyAlignment="1" applyProtection="1">
      <alignment horizontal="center"/>
      <protection locked="0"/>
    </xf>
    <xf numFmtId="0" fontId="5" fillId="3" borderId="1" xfId="0" applyFont="1" applyFill="1" applyBorder="1" applyAlignment="1">
      <alignment horizontal="center"/>
    </xf>
    <xf numFmtId="0" fontId="5" fillId="3" borderId="0" xfId="0" applyFont="1" applyFill="1" applyAlignment="1">
      <alignment horizontal="center"/>
    </xf>
    <xf numFmtId="0" fontId="0" fillId="0" borderId="26" xfId="0" applyBorder="1" applyAlignment="1">
      <alignment horizontal="center"/>
    </xf>
    <xf numFmtId="0" fontId="0" fillId="0" borderId="9" xfId="0" applyBorder="1" applyAlignment="1">
      <alignment horizontal="center"/>
    </xf>
    <xf numFmtId="0" fontId="5" fillId="3" borderId="26" xfId="0" applyFont="1" applyFill="1" applyBorder="1" applyAlignment="1">
      <alignment horizontal="center"/>
    </xf>
    <xf numFmtId="0" fontId="5" fillId="3" borderId="9" xfId="0" applyFont="1" applyFill="1" applyBorder="1" applyAlignment="1">
      <alignment horizontal="center"/>
    </xf>
    <xf numFmtId="0" fontId="4" fillId="3" borderId="36" xfId="0" applyFont="1" applyFill="1" applyBorder="1" applyAlignment="1">
      <alignment horizontal="center"/>
    </xf>
    <xf numFmtId="0" fontId="4" fillId="3" borderId="37" xfId="0" applyFont="1" applyFill="1" applyBorder="1" applyAlignment="1">
      <alignment horizontal="center"/>
    </xf>
    <xf numFmtId="0" fontId="4" fillId="3" borderId="48" xfId="0" applyFont="1" applyFill="1" applyBorder="1" applyAlignment="1">
      <alignment horizontal="center"/>
    </xf>
    <xf numFmtId="0" fontId="3" fillId="0" borderId="26" xfId="0" applyFont="1" applyBorder="1" applyAlignment="1">
      <alignment horizontal="center"/>
    </xf>
    <xf numFmtId="0" fontId="3" fillId="0" borderId="9" xfId="0" applyFont="1" applyBorder="1" applyAlignment="1">
      <alignment horizontal="center"/>
    </xf>
    <xf numFmtId="0" fontId="0" fillId="0" borderId="28" xfId="0" applyBorder="1"/>
    <xf numFmtId="0" fontId="0" fillId="0" borderId="12" xfId="0" applyBorder="1"/>
    <xf numFmtId="0" fontId="0" fillId="0" borderId="13" xfId="0" applyBorder="1"/>
    <xf numFmtId="0" fontId="7" fillId="0" borderId="28" xfId="0" applyFont="1" applyBorder="1"/>
    <xf numFmtId="0" fontId="7" fillId="0" borderId="12" xfId="0" applyFont="1" applyBorder="1"/>
    <xf numFmtId="0" fontId="7" fillId="0" borderId="13" xfId="0" applyFont="1" applyBorder="1"/>
    <xf numFmtId="0" fontId="0" fillId="6" borderId="11" xfId="0" applyFill="1" applyBorder="1" applyAlignment="1" applyProtection="1">
      <alignment horizontal="center"/>
      <protection locked="0"/>
    </xf>
    <xf numFmtId="0" fontId="0" fillId="6" borderId="13" xfId="0" applyFill="1" applyBorder="1" applyAlignment="1" applyProtection="1">
      <alignment horizontal="center"/>
      <protection locked="0"/>
    </xf>
    <xf numFmtId="0" fontId="7" fillId="6" borderId="11" xfId="0" applyFont="1" applyFill="1" applyBorder="1" applyAlignment="1" applyProtection="1">
      <alignment horizontal="center"/>
      <protection locked="0"/>
    </xf>
    <xf numFmtId="0" fontId="7" fillId="6" borderId="13" xfId="0" applyFont="1" applyFill="1" applyBorder="1" applyAlignment="1" applyProtection="1">
      <alignment horizontal="center"/>
      <protection locked="0"/>
    </xf>
    <xf numFmtId="0" fontId="7" fillId="0" borderId="28" xfId="0" applyFont="1" applyBorder="1" applyAlignment="1">
      <alignment horizontal="left"/>
    </xf>
    <xf numFmtId="0" fontId="7" fillId="0" borderId="12" xfId="0" applyFont="1" applyBorder="1" applyAlignment="1">
      <alignment horizontal="left"/>
    </xf>
    <xf numFmtId="0" fontId="7" fillId="0" borderId="13" xfId="0" applyFont="1" applyBorder="1" applyAlignment="1">
      <alignment horizontal="left"/>
    </xf>
    <xf numFmtId="0" fontId="0" fillId="10" borderId="28" xfId="0" applyFill="1" applyBorder="1" applyProtection="1">
      <protection locked="0"/>
    </xf>
    <xf numFmtId="0" fontId="0" fillId="10" borderId="12" xfId="0" applyFill="1" applyBorder="1" applyProtection="1">
      <protection locked="0"/>
    </xf>
    <xf numFmtId="0" fontId="0" fillId="10" borderId="13" xfId="0" applyFill="1" applyBorder="1" applyProtection="1">
      <protection locked="0"/>
    </xf>
    <xf numFmtId="0" fontId="0" fillId="0" borderId="28"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7" fillId="0" borderId="28" xfId="0" applyFont="1" applyBorder="1" applyAlignment="1">
      <alignment horizontal="left" wrapText="1"/>
    </xf>
    <xf numFmtId="0" fontId="7" fillId="0" borderId="12" xfId="0" applyFont="1" applyBorder="1" applyAlignment="1">
      <alignment horizontal="left" wrapText="1"/>
    </xf>
    <xf numFmtId="0" fontId="7" fillId="0" borderId="13" xfId="0" applyFont="1" applyBorder="1" applyAlignment="1">
      <alignment horizontal="left" wrapText="1"/>
    </xf>
    <xf numFmtId="0" fontId="0" fillId="7" borderId="11" xfId="0" applyFill="1" applyBorder="1" applyAlignment="1" applyProtection="1">
      <alignment horizontal="center"/>
      <protection locked="0"/>
    </xf>
    <xf numFmtId="0" fontId="0" fillId="7" borderId="13" xfId="0" applyFill="1" applyBorder="1" applyAlignment="1" applyProtection="1">
      <alignment horizontal="center"/>
      <protection locked="0"/>
    </xf>
    <xf numFmtId="0" fontId="13" fillId="0" borderId="30" xfId="0" applyFont="1" applyBorder="1" applyAlignment="1">
      <alignment horizontal="left"/>
    </xf>
    <xf numFmtId="0" fontId="13" fillId="0" borderId="16" xfId="0" applyFont="1" applyBorder="1" applyAlignment="1">
      <alignment horizontal="left"/>
    </xf>
    <xf numFmtId="0" fontId="0" fillId="13" borderId="28" xfId="0" applyFill="1" applyBorder="1" applyAlignment="1" applyProtection="1">
      <alignment horizontal="left"/>
      <protection locked="0"/>
    </xf>
    <xf numFmtId="0" fontId="0" fillId="13" borderId="13" xfId="0" applyFill="1" applyBorder="1" applyAlignment="1" applyProtection="1">
      <alignment horizontal="left"/>
      <protection locked="0"/>
    </xf>
    <xf numFmtId="0" fontId="23" fillId="0" borderId="30" xfId="3" applyFont="1" applyBorder="1" applyAlignment="1">
      <alignment horizontal="left"/>
    </xf>
    <xf numFmtId="0" fontId="23" fillId="0" borderId="16" xfId="3" applyFont="1" applyBorder="1" applyAlignment="1">
      <alignment horizontal="left"/>
    </xf>
    <xf numFmtId="0" fontId="0" fillId="6" borderId="28" xfId="0" applyFill="1" applyBorder="1" applyAlignment="1" applyProtection="1">
      <alignment horizontal="left"/>
      <protection locked="0"/>
    </xf>
    <xf numFmtId="0" fontId="0" fillId="6" borderId="12" xfId="0" applyFill="1" applyBorder="1" applyAlignment="1" applyProtection="1">
      <alignment horizontal="left"/>
      <protection locked="0"/>
    </xf>
    <xf numFmtId="0" fontId="0" fillId="6" borderId="13" xfId="0" applyFill="1" applyBorder="1" applyAlignment="1" applyProtection="1">
      <alignment horizontal="left"/>
      <protection locked="0"/>
    </xf>
    <xf numFmtId="0" fontId="3" fillId="0" borderId="30" xfId="0" applyFont="1" applyBorder="1" applyAlignment="1">
      <alignment horizontal="right"/>
    </xf>
    <xf numFmtId="0" fontId="3" fillId="0" borderId="16" xfId="0" applyFont="1" applyBorder="1" applyAlignment="1">
      <alignment horizontal="right"/>
    </xf>
    <xf numFmtId="0" fontId="0" fillId="0" borderId="0" xfId="0" applyAlignment="1">
      <alignment vertical="top" wrapText="1"/>
    </xf>
    <xf numFmtId="0" fontId="0" fillId="0" borderId="2" xfId="0" applyBorder="1" applyAlignment="1">
      <alignment vertical="top" wrapText="1"/>
    </xf>
    <xf numFmtId="0" fontId="0" fillId="0" borderId="0" xfId="0" applyAlignment="1">
      <alignment vertical="top"/>
    </xf>
    <xf numFmtId="0" fontId="0" fillId="0" borderId="2" xfId="0" applyBorder="1" applyAlignment="1">
      <alignment vertical="top"/>
    </xf>
    <xf numFmtId="0" fontId="3" fillId="0" borderId="1" xfId="0" applyFont="1" applyBorder="1" applyAlignment="1">
      <alignment horizontal="center" vertical="top"/>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 xfId="0" applyFont="1" applyBorder="1" applyAlignment="1">
      <alignment horizontal="center" vertical="center" wrapText="1"/>
    </xf>
    <xf numFmtId="0" fontId="9" fillId="2" borderId="6" xfId="0" applyFont="1" applyFill="1" applyBorder="1" applyAlignment="1">
      <alignment horizontal="center"/>
    </xf>
    <xf numFmtId="0" fontId="9" fillId="2" borderId="3" xfId="0" applyFont="1" applyFill="1" applyBorder="1" applyAlignment="1">
      <alignment horizontal="center"/>
    </xf>
    <xf numFmtId="0" fontId="9" fillId="2" borderId="4" xfId="0" applyFont="1" applyFill="1" applyBorder="1" applyAlignment="1">
      <alignment horizontal="center"/>
    </xf>
    <xf numFmtId="0" fontId="25" fillId="0" borderId="1"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4" fillId="0" borderId="1"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0" fillId="0" borderId="37" xfId="0" applyBorder="1" applyAlignment="1">
      <alignment horizontal="left" vertical="top" wrapText="1"/>
    </xf>
    <xf numFmtId="0" fontId="0" fillId="0" borderId="5" xfId="0" applyBorder="1" applyAlignment="1">
      <alignment horizontal="left" wrapText="1"/>
    </xf>
    <xf numFmtId="0" fontId="0" fillId="0" borderId="8" xfId="0" applyBorder="1" applyAlignment="1">
      <alignment horizontal="left" wrapText="1"/>
    </xf>
    <xf numFmtId="0" fontId="4" fillId="3" borderId="6"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0" fillId="0" borderId="11" xfId="0" applyBorder="1" applyAlignment="1" applyProtection="1">
      <alignment horizontal="center"/>
      <protection locked="0"/>
    </xf>
    <xf numFmtId="0" fontId="0" fillId="0" borderId="13" xfId="0" applyBorder="1" applyAlignment="1" applyProtection="1">
      <alignment horizontal="center"/>
      <protection locked="0"/>
    </xf>
    <xf numFmtId="0" fontId="30" fillId="0" borderId="0" xfId="4" applyFont="1"/>
    <xf numFmtId="0" fontId="4" fillId="3" borderId="1" xfId="0" applyFont="1" applyFill="1" applyBorder="1" applyAlignment="1">
      <alignment horizontal="center"/>
    </xf>
    <xf numFmtId="0" fontId="4" fillId="3" borderId="0" xfId="0" applyFont="1" applyFill="1" applyAlignment="1">
      <alignment horizontal="center"/>
    </xf>
    <xf numFmtId="0" fontId="4" fillId="3" borderId="2" xfId="0" applyFont="1" applyFill="1" applyBorder="1" applyAlignment="1">
      <alignment horizontal="center"/>
    </xf>
    <xf numFmtId="0" fontId="7" fillId="0" borderId="61" xfId="4" applyFont="1" applyBorder="1" applyAlignment="1" applyProtection="1">
      <alignment horizontal="center" vertical="center" wrapText="1"/>
      <protection locked="0"/>
    </xf>
    <xf numFmtId="0" fontId="7" fillId="0" borderId="42" xfId="4" applyFont="1" applyBorder="1" applyAlignment="1" applyProtection="1">
      <alignment horizontal="center" vertical="center" wrapText="1"/>
      <protection locked="0"/>
    </xf>
    <xf numFmtId="0" fontId="14" fillId="6" borderId="17" xfId="0" applyFont="1" applyFill="1" applyBorder="1" applyAlignment="1">
      <alignment horizontal="center"/>
    </xf>
    <xf numFmtId="0" fontId="14" fillId="6" borderId="39" xfId="0" applyFont="1" applyFill="1" applyBorder="1" applyAlignment="1">
      <alignment horizontal="center"/>
    </xf>
    <xf numFmtId="0" fontId="14" fillId="6" borderId="18" xfId="0" applyFont="1" applyFill="1" applyBorder="1" applyAlignment="1">
      <alignment horizontal="center"/>
    </xf>
    <xf numFmtId="0" fontId="14" fillId="7" borderId="17" xfId="0" applyFont="1" applyFill="1" applyBorder="1" applyAlignment="1">
      <alignment horizontal="center"/>
    </xf>
    <xf numFmtId="0" fontId="14" fillId="7" borderId="39" xfId="0" applyFont="1" applyFill="1" applyBorder="1" applyAlignment="1">
      <alignment horizontal="center"/>
    </xf>
    <xf numFmtId="0" fontId="14" fillId="7" borderId="18" xfId="0" applyFont="1" applyFill="1" applyBorder="1" applyAlignment="1">
      <alignment horizontal="center"/>
    </xf>
    <xf numFmtId="0" fontId="14" fillId="12" borderId="17" xfId="0" applyFont="1" applyFill="1" applyBorder="1" applyAlignment="1">
      <alignment horizontal="center"/>
    </xf>
    <xf numFmtId="0" fontId="14" fillId="12" borderId="39" xfId="0" applyFont="1" applyFill="1" applyBorder="1" applyAlignment="1">
      <alignment horizontal="center"/>
    </xf>
    <xf numFmtId="0" fontId="14" fillId="12" borderId="18" xfId="0" applyFont="1" applyFill="1" applyBorder="1" applyAlignment="1">
      <alignment horizontal="center"/>
    </xf>
    <xf numFmtId="0" fontId="14" fillId="15" borderId="17" xfId="0" applyFont="1" applyFill="1" applyBorder="1" applyAlignment="1">
      <alignment horizontal="center"/>
    </xf>
    <xf numFmtId="0" fontId="14" fillId="15" borderId="39" xfId="0" applyFont="1" applyFill="1" applyBorder="1" applyAlignment="1">
      <alignment horizontal="center"/>
    </xf>
    <xf numFmtId="0" fontId="14" fillId="15" borderId="18" xfId="0" applyFont="1" applyFill="1" applyBorder="1" applyAlignment="1">
      <alignment horizontal="center"/>
    </xf>
    <xf numFmtId="0" fontId="3" fillId="0" borderId="10" xfId="0" applyFont="1" applyBorder="1" applyAlignment="1">
      <alignment horizontal="center"/>
    </xf>
    <xf numFmtId="0" fontId="3" fillId="0" borderId="15" xfId="0" applyFont="1" applyBorder="1" applyAlignment="1">
      <alignment horizontal="center"/>
    </xf>
    <xf numFmtId="0" fontId="14" fillId="11" borderId="22" xfId="0" applyFont="1" applyFill="1" applyBorder="1" applyAlignment="1">
      <alignment horizontal="center"/>
    </xf>
    <xf numFmtId="0" fontId="14" fillId="11" borderId="38" xfId="0" applyFont="1" applyFill="1" applyBorder="1" applyAlignment="1">
      <alignment horizontal="center"/>
    </xf>
    <xf numFmtId="0" fontId="14" fillId="11" borderId="23" xfId="0" applyFont="1" applyFill="1" applyBorder="1" applyAlignment="1">
      <alignment horizontal="center"/>
    </xf>
    <xf numFmtId="44" fontId="3" fillId="0" borderId="10" xfId="2" applyFont="1" applyFill="1" applyBorder="1" applyAlignment="1">
      <alignment horizontal="center"/>
    </xf>
    <xf numFmtId="44" fontId="3" fillId="0" borderId="15" xfId="2" applyFont="1" applyFill="1" applyBorder="1" applyAlignment="1">
      <alignment horizontal="center"/>
    </xf>
    <xf numFmtId="44" fontId="0" fillId="0" borderId="33" xfId="2" applyFont="1" applyFill="1" applyBorder="1" applyAlignment="1">
      <alignment horizontal="left"/>
    </xf>
    <xf numFmtId="44" fontId="0" fillId="0" borderId="20" xfId="2" applyFont="1" applyFill="1" applyBorder="1" applyAlignment="1">
      <alignment horizontal="left"/>
    </xf>
    <xf numFmtId="0" fontId="14" fillId="13" borderId="22" xfId="0" applyFont="1" applyFill="1" applyBorder="1" applyAlignment="1">
      <alignment horizontal="center"/>
    </xf>
    <xf numFmtId="0" fontId="14" fillId="13" borderId="38" xfId="0" applyFont="1" applyFill="1" applyBorder="1" applyAlignment="1">
      <alignment horizontal="center"/>
    </xf>
    <xf numFmtId="0" fontId="14" fillId="13" borderId="23" xfId="0" applyFont="1" applyFill="1" applyBorder="1" applyAlignment="1">
      <alignment horizontal="center"/>
    </xf>
    <xf numFmtId="0" fontId="14" fillId="11" borderId="17" xfId="0" applyFont="1" applyFill="1" applyBorder="1" applyAlignment="1">
      <alignment horizontal="center"/>
    </xf>
    <xf numFmtId="0" fontId="14" fillId="11" borderId="39" xfId="0" applyFont="1" applyFill="1" applyBorder="1" applyAlignment="1">
      <alignment horizontal="center"/>
    </xf>
    <xf numFmtId="0" fontId="14" fillId="11" borderId="18" xfId="0" applyFont="1" applyFill="1" applyBorder="1" applyAlignment="1">
      <alignment horizontal="center"/>
    </xf>
    <xf numFmtId="0" fontId="14" fillId="9" borderId="17" xfId="0" applyFont="1" applyFill="1" applyBorder="1" applyAlignment="1">
      <alignment horizontal="center"/>
    </xf>
    <xf numFmtId="0" fontId="14" fillId="9" borderId="39" xfId="0" applyFont="1" applyFill="1" applyBorder="1" applyAlignment="1">
      <alignment horizontal="center"/>
    </xf>
    <xf numFmtId="0" fontId="14" fillId="9" borderId="18" xfId="0" applyFont="1" applyFill="1" applyBorder="1" applyAlignment="1">
      <alignment horizontal="center"/>
    </xf>
    <xf numFmtId="44" fontId="14" fillId="11" borderId="22" xfId="2" applyFont="1" applyFill="1" applyBorder="1" applyAlignment="1">
      <alignment horizontal="center"/>
    </xf>
    <xf numFmtId="44" fontId="14" fillId="11" borderId="38" xfId="2" applyFont="1" applyFill="1" applyBorder="1" applyAlignment="1">
      <alignment horizontal="center"/>
    </xf>
    <xf numFmtId="44" fontId="14" fillId="11" borderId="23" xfId="2" applyFont="1" applyFill="1" applyBorder="1" applyAlignment="1">
      <alignment horizontal="center"/>
    </xf>
    <xf numFmtId="0" fontId="14" fillId="6" borderId="22" xfId="0" applyFont="1" applyFill="1" applyBorder="1" applyAlignment="1">
      <alignment horizontal="center"/>
    </xf>
    <xf numFmtId="0" fontId="14" fillId="6" borderId="38" xfId="0" applyFont="1" applyFill="1" applyBorder="1" applyAlignment="1">
      <alignment horizontal="center"/>
    </xf>
    <xf numFmtId="0" fontId="14" fillId="6" borderId="23" xfId="0" applyFont="1" applyFill="1" applyBorder="1" applyAlignment="1">
      <alignment horizontal="center"/>
    </xf>
  </cellXfs>
  <cellStyles count="5">
    <cellStyle name="Comma" xfId="1" builtinId="3"/>
    <cellStyle name="Currency" xfId="2" builtinId="4"/>
    <cellStyle name="Hyperlink" xfId="3" builtinId="8"/>
    <cellStyle name="Normal" xfId="0" builtinId="0"/>
    <cellStyle name="Normal 2" xfId="4" xr:uid="{4B34DE2A-C136-46A3-A553-40BF7E94F226}"/>
  </cellStyles>
  <dxfs count="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60033"/>
      <color rgb="FF5D0022"/>
      <color rgb="FFC0E399"/>
      <color rgb="FFFFABAD"/>
      <color rgb="FFFFD28F"/>
      <color rgb="FFE0C1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oloradomesa.edu/co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K74"/>
  <sheetViews>
    <sheetView showGridLines="0" tabSelected="1" showRuler="0" zoomScaleNormal="100" zoomScalePageLayoutView="90" workbookViewId="0">
      <selection activeCell="N14" sqref="N14"/>
    </sheetView>
  </sheetViews>
  <sheetFormatPr defaultRowHeight="15" x14ac:dyDescent="0.25"/>
  <cols>
    <col min="1" max="1" width="1.7109375" customWidth="1"/>
    <col min="2" max="2" width="9.7109375" bestFit="1" customWidth="1"/>
    <col min="3" max="3" width="26.42578125" customWidth="1"/>
    <col min="4" max="4" width="18.140625" bestFit="1" customWidth="1"/>
    <col min="5" max="5" width="19.85546875" customWidth="1"/>
    <col min="6" max="6" width="22.28515625" customWidth="1"/>
    <col min="7" max="7" width="14.28515625" customWidth="1"/>
    <col min="8" max="8" width="2" customWidth="1"/>
    <col min="9" max="9" width="3.85546875" style="6" customWidth="1"/>
    <col min="10" max="10" width="82.140625" customWidth="1"/>
    <col min="11" max="11" width="21.140625" customWidth="1"/>
  </cols>
  <sheetData>
    <row r="1" spans="2:11" ht="15.75" thickBot="1" x14ac:dyDescent="0.3"/>
    <row r="2" spans="2:11" ht="21" x14ac:dyDescent="0.3">
      <c r="B2" s="251" t="s">
        <v>208</v>
      </c>
      <c r="C2" s="252"/>
      <c r="D2" s="252"/>
      <c r="E2" s="252"/>
      <c r="F2" s="252"/>
      <c r="G2" s="253"/>
      <c r="I2" s="227" t="s">
        <v>0</v>
      </c>
      <c r="J2" s="228"/>
      <c r="K2" s="229"/>
    </row>
    <row r="3" spans="2:11" x14ac:dyDescent="0.25">
      <c r="B3" s="14" t="s">
        <v>1</v>
      </c>
      <c r="C3" s="254"/>
      <c r="D3" s="255"/>
      <c r="E3" s="11"/>
      <c r="F3" s="8" t="s">
        <v>2</v>
      </c>
      <c r="G3" s="31"/>
      <c r="I3" s="311" t="s">
        <v>281</v>
      </c>
      <c r="J3" s="312"/>
      <c r="K3" s="313"/>
    </row>
    <row r="4" spans="2:11" ht="6.6" customHeight="1" x14ac:dyDescent="0.25">
      <c r="B4" s="2"/>
      <c r="G4" s="1"/>
      <c r="I4" s="311"/>
      <c r="J4" s="312"/>
      <c r="K4" s="313"/>
    </row>
    <row r="5" spans="2:11" ht="16.5" thickBot="1" x14ac:dyDescent="0.3">
      <c r="B5" s="214" t="s">
        <v>3</v>
      </c>
      <c r="C5" s="215"/>
      <c r="D5" s="215"/>
      <c r="E5" s="215"/>
      <c r="F5" s="215"/>
      <c r="G5" s="216"/>
      <c r="I5" s="311"/>
      <c r="J5" s="312"/>
      <c r="K5" s="313"/>
    </row>
    <row r="6" spans="2:11" ht="15.75" thickBot="1" x14ac:dyDescent="0.3">
      <c r="B6" s="260" t="s">
        <v>4</v>
      </c>
      <c r="C6" s="261"/>
      <c r="D6" s="261"/>
      <c r="E6" s="39" t="s">
        <v>5</v>
      </c>
      <c r="F6" s="258"/>
      <c r="G6" s="259"/>
      <c r="I6" s="233" t="s">
        <v>6</v>
      </c>
      <c r="J6" s="234"/>
      <c r="K6" s="235"/>
    </row>
    <row r="7" spans="2:11" ht="15.75" thickTop="1" x14ac:dyDescent="0.25">
      <c r="B7" s="262"/>
      <c r="C7" s="263"/>
      <c r="D7" s="13" t="s">
        <v>7</v>
      </c>
      <c r="E7" s="13" t="s">
        <v>8</v>
      </c>
      <c r="F7" s="13" t="s">
        <v>9</v>
      </c>
      <c r="G7" s="15" t="s">
        <v>10</v>
      </c>
      <c r="I7" s="69" t="s">
        <v>11</v>
      </c>
      <c r="J7" s="202" t="s">
        <v>12</v>
      </c>
      <c r="K7" s="202"/>
    </row>
    <row r="8" spans="2:11" x14ac:dyDescent="0.25">
      <c r="B8" s="256" t="s">
        <v>13</v>
      </c>
      <c r="C8" s="257"/>
      <c r="D8" s="30"/>
      <c r="E8" s="5">
        <f>IF(D8=0,0,IF(F6="",0,VLOOKUP(F6,Data!B7:C11,2,FALSE)))</f>
        <v>0</v>
      </c>
      <c r="F8" s="5">
        <f>IF(D8=0,0,Data!C13)</f>
        <v>0</v>
      </c>
      <c r="G8" s="16">
        <f>D8*(E8+F8)</f>
        <v>0</v>
      </c>
      <c r="I8" s="69" t="s">
        <v>11</v>
      </c>
      <c r="J8" s="202" t="s">
        <v>14</v>
      </c>
      <c r="K8" s="202"/>
    </row>
    <row r="9" spans="2:11" x14ac:dyDescent="0.25">
      <c r="B9" s="297" t="s">
        <v>15</v>
      </c>
      <c r="C9" s="298"/>
      <c r="D9" s="30"/>
      <c r="E9" s="5">
        <f>_xlfn.IFS(D9="",0,F6="",0,F6="In-State",VLOOKUP(B9,Data!B14:C15,2,FALSE),F6&lt;&gt;"In-State",VLOOKUP(F6,Data!B7:C10,2,FALSE))</f>
        <v>0</v>
      </c>
      <c r="F9" s="5">
        <f>IF(D9=0,0,Data!C13)</f>
        <v>0</v>
      </c>
      <c r="G9" s="16">
        <f>D9*(E9+F9)</f>
        <v>0</v>
      </c>
      <c r="I9" s="69" t="s">
        <v>11</v>
      </c>
      <c r="J9" s="202" t="s">
        <v>16</v>
      </c>
      <c r="K9" s="202"/>
    </row>
    <row r="10" spans="2:11" x14ac:dyDescent="0.25">
      <c r="B10" s="256" t="s">
        <v>17</v>
      </c>
      <c r="C10" s="257"/>
      <c r="D10" s="30"/>
      <c r="E10" s="5">
        <f>IF(D10=0,0,Data!C11)</f>
        <v>0</v>
      </c>
      <c r="F10" s="5">
        <v>0</v>
      </c>
      <c r="G10" s="16">
        <f>D10*E10</f>
        <v>0</v>
      </c>
      <c r="I10" s="310" t="s">
        <v>11</v>
      </c>
      <c r="J10" s="249" t="s">
        <v>18</v>
      </c>
      <c r="K10" s="250"/>
    </row>
    <row r="11" spans="2:11" x14ac:dyDescent="0.25">
      <c r="B11" s="256" t="s">
        <v>19</v>
      </c>
      <c r="C11" s="257"/>
      <c r="D11" s="30"/>
      <c r="E11" s="5">
        <f>IF(D11="Yes",Data!C12*-1,0)</f>
        <v>0</v>
      </c>
      <c r="F11" s="9"/>
      <c r="G11" s="16">
        <f>_xlfn.IFS(D11="",0,D11="No",0,D11="Yes",IF(F6="In-State",(D8+D9+D10)*E11,0))</f>
        <v>0</v>
      </c>
      <c r="I11" s="310"/>
      <c r="J11" s="249"/>
      <c r="K11" s="250"/>
    </row>
    <row r="12" spans="2:11" ht="15.75" thickBot="1" x14ac:dyDescent="0.3">
      <c r="B12" s="299" t="s">
        <v>20</v>
      </c>
      <c r="C12" s="300"/>
      <c r="D12" s="300"/>
      <c r="E12" s="300"/>
      <c r="F12" s="4" t="s">
        <v>21</v>
      </c>
      <c r="G12" s="17">
        <f>SUM(G8:G11)</f>
        <v>0</v>
      </c>
      <c r="I12" s="69" t="s">
        <v>11</v>
      </c>
      <c r="J12" s="202" t="s">
        <v>22</v>
      </c>
      <c r="K12" s="202"/>
    </row>
    <row r="13" spans="2:11" ht="16.5" thickTop="1" thickBot="1" x14ac:dyDescent="0.3">
      <c r="B13" s="266" t="s">
        <v>241</v>
      </c>
      <c r="C13" s="267"/>
      <c r="D13" s="267"/>
      <c r="E13" s="267"/>
      <c r="F13" s="267"/>
      <c r="G13" s="268"/>
      <c r="I13" s="73" t="s">
        <v>11</v>
      </c>
      <c r="J13" s="205" t="s">
        <v>23</v>
      </c>
      <c r="K13" s="205"/>
    </row>
    <row r="14" spans="2:11" ht="15.75" thickBot="1" x14ac:dyDescent="0.3">
      <c r="B14" s="269" t="s">
        <v>25</v>
      </c>
      <c r="C14" s="270"/>
      <c r="D14" s="270"/>
      <c r="E14" s="270"/>
      <c r="F14" s="270"/>
      <c r="G14" s="19" t="s">
        <v>10</v>
      </c>
      <c r="I14" s="236" t="s">
        <v>24</v>
      </c>
      <c r="J14" s="237"/>
      <c r="K14" s="238"/>
    </row>
    <row r="15" spans="2:11" ht="15.75" thickTop="1" x14ac:dyDescent="0.25">
      <c r="B15" s="281" t="s">
        <v>27</v>
      </c>
      <c r="C15" s="282"/>
      <c r="D15" s="282"/>
      <c r="E15" s="282"/>
      <c r="F15" s="283"/>
      <c r="G15" s="26">
        <v>0</v>
      </c>
      <c r="I15" s="69" t="s">
        <v>11</v>
      </c>
      <c r="J15" s="239" t="s">
        <v>26</v>
      </c>
      <c r="K15" s="240"/>
    </row>
    <row r="16" spans="2:11" x14ac:dyDescent="0.25">
      <c r="B16" s="271" t="s">
        <v>29</v>
      </c>
      <c r="C16" s="272"/>
      <c r="D16" s="273"/>
      <c r="E16" s="277"/>
      <c r="F16" s="278"/>
      <c r="G16" s="16">
        <f>_xlfn.IFS(E16="", 0, E16="Yes", Data!C70, E16="No",0)</f>
        <v>0</v>
      </c>
      <c r="I16" s="69" t="s">
        <v>11</v>
      </c>
      <c r="J16" s="239" t="s">
        <v>28</v>
      </c>
      <c r="K16" s="240"/>
    </row>
    <row r="17" spans="2:11" x14ac:dyDescent="0.25">
      <c r="B17" s="271" t="s">
        <v>30</v>
      </c>
      <c r="C17" s="272"/>
      <c r="D17" s="273"/>
      <c r="E17" s="277"/>
      <c r="F17" s="278"/>
      <c r="G17" s="33">
        <f>_xlfn.IFS($E$17="",0,$E$17="Yes",Data!C85,$E$17="No",0)</f>
        <v>0</v>
      </c>
      <c r="I17" s="69"/>
      <c r="J17" s="239"/>
      <c r="K17" s="240"/>
    </row>
    <row r="18" spans="2:11" x14ac:dyDescent="0.25">
      <c r="B18" s="274" t="s">
        <v>32</v>
      </c>
      <c r="C18" s="275"/>
      <c r="D18" s="276"/>
      <c r="E18" s="279"/>
      <c r="F18" s="280"/>
      <c r="G18" s="33">
        <f>IF(E18="", 0,VLOOKUP(E18,Data!B75:C81,2,FALSE))</f>
        <v>0</v>
      </c>
      <c r="I18" s="69" t="s">
        <v>11</v>
      </c>
      <c r="J18" s="249" t="s">
        <v>31</v>
      </c>
      <c r="K18" s="250"/>
    </row>
    <row r="19" spans="2:11" ht="14.45" customHeight="1" x14ac:dyDescent="0.25">
      <c r="B19" s="301" t="s">
        <v>33</v>
      </c>
      <c r="C19" s="302"/>
      <c r="D19" s="302"/>
      <c r="E19" s="302"/>
      <c r="F19" s="303"/>
      <c r="G19" s="26">
        <v>0</v>
      </c>
      <c r="I19" s="69" t="s">
        <v>11</v>
      </c>
      <c r="J19" s="249" t="s">
        <v>242</v>
      </c>
      <c r="K19" s="250"/>
    </row>
    <row r="20" spans="2:11" x14ac:dyDescent="0.25">
      <c r="B20" s="301" t="s">
        <v>33</v>
      </c>
      <c r="C20" s="302"/>
      <c r="D20" s="302"/>
      <c r="E20" s="302"/>
      <c r="F20" s="303"/>
      <c r="G20" s="26">
        <v>0</v>
      </c>
      <c r="I20" s="69"/>
      <c r="J20" s="249"/>
      <c r="K20" s="250"/>
    </row>
    <row r="21" spans="2:11" ht="15.75" thickBot="1" x14ac:dyDescent="0.3">
      <c r="B21" s="304" t="s">
        <v>36</v>
      </c>
      <c r="C21" s="305"/>
      <c r="D21" s="305"/>
      <c r="E21" s="305"/>
      <c r="F21" s="305"/>
      <c r="G21" s="18">
        <f>SUM(G15:G20)</f>
        <v>0</v>
      </c>
      <c r="I21" s="69"/>
      <c r="J21" s="324"/>
      <c r="K21" s="325"/>
    </row>
    <row r="22" spans="2:11" ht="16.5" thickTop="1" thickBot="1" x14ac:dyDescent="0.3">
      <c r="B22" s="212" t="s">
        <v>38</v>
      </c>
      <c r="C22" s="213"/>
      <c r="D22" s="213"/>
      <c r="E22" s="213"/>
      <c r="F22" s="213"/>
      <c r="G22" s="20">
        <f>SUM(G12,G21)</f>
        <v>0</v>
      </c>
      <c r="I22" s="245" t="s">
        <v>34</v>
      </c>
      <c r="J22" s="246"/>
      <c r="K22" s="247"/>
    </row>
    <row r="23" spans="2:11" ht="16.5" thickTop="1" x14ac:dyDescent="0.25">
      <c r="B23" s="214" t="s">
        <v>40</v>
      </c>
      <c r="C23" s="215"/>
      <c r="D23" s="215"/>
      <c r="E23" s="215"/>
      <c r="F23" s="215"/>
      <c r="G23" s="216"/>
      <c r="I23" s="72" t="s">
        <v>11</v>
      </c>
      <c r="J23" s="248" t="s">
        <v>35</v>
      </c>
      <c r="K23" s="248"/>
    </row>
    <row r="24" spans="2:11" x14ac:dyDescent="0.25">
      <c r="B24" s="264" t="s">
        <v>42</v>
      </c>
      <c r="C24" s="265"/>
      <c r="D24" s="265"/>
      <c r="E24" s="265"/>
      <c r="F24" s="65" t="s">
        <v>43</v>
      </c>
      <c r="G24" s="21" t="s">
        <v>44</v>
      </c>
      <c r="I24" s="71" t="s">
        <v>11</v>
      </c>
      <c r="J24" s="183" t="s">
        <v>37</v>
      </c>
      <c r="K24" s="183"/>
    </row>
    <row r="25" spans="2:11" x14ac:dyDescent="0.25">
      <c r="B25" s="256" t="s">
        <v>46</v>
      </c>
      <c r="C25" s="257"/>
      <c r="D25" s="293"/>
      <c r="E25" s="294"/>
      <c r="F25" s="34" cm="1">
        <f t="array" ref="F25">_xlfn.IFS(D25="",0,AND(D25=Data!H7, F6="In-State"), "Adjusts to tuition", AND(D25=Data!H7, F6&lt;&gt;"In-State"), "Must be in-state student", D25&lt;&gt;"", VLOOKUP(D25,Data!H6:I13,2,FALSE))</f>
        <v>0</v>
      </c>
      <c r="G25" s="16" cm="1">
        <f t="array" ref="G25">_xlfn.IFS(F25="",0, AND(D25=Data!H7, F6="In-State"),Data!I27, AND( D25=Data!H7, F6&lt;&gt;"In-State"), 0, F25&lt;&gt;"", 'CMU Budget Worksheet'!F25/2)</f>
        <v>0</v>
      </c>
      <c r="I25" s="71" t="s">
        <v>11</v>
      </c>
      <c r="J25" s="182" t="s">
        <v>39</v>
      </c>
      <c r="K25" s="183"/>
    </row>
    <row r="26" spans="2:11" x14ac:dyDescent="0.25">
      <c r="B26" s="256" t="s">
        <v>47</v>
      </c>
      <c r="C26" s="257"/>
      <c r="D26" s="293"/>
      <c r="E26" s="294"/>
      <c r="F26" s="34">
        <f>_xlfn.IFS(D26="",0,D26&lt;&gt;"",VLOOKUP(D26,Data!H17:I21,2,FALSE))</f>
        <v>0</v>
      </c>
      <c r="G26" s="16">
        <f>F26/2</f>
        <v>0</v>
      </c>
      <c r="I26" s="69" t="s">
        <v>11</v>
      </c>
      <c r="J26" s="183" t="s">
        <v>41</v>
      </c>
      <c r="K26" s="183"/>
    </row>
    <row r="27" spans="2:11" x14ac:dyDescent="0.25">
      <c r="B27" s="256" t="s">
        <v>49</v>
      </c>
      <c r="C27" s="257"/>
      <c r="D27" s="293"/>
      <c r="E27" s="294"/>
      <c r="F27" s="34" cm="1">
        <f t="array" ref="F27">_xlfn.IFS(D27="", 0, D27="No", 0, AND(D27="Yes", F6="In-State"), "Adjusts to tuition &amp; aid", AND(D27="Yes", F6&lt;&gt;"In-State"), "Must be in-state")</f>
        <v>0</v>
      </c>
      <c r="G27" s="16" cm="1">
        <f t="array" aca="1" ref="G27" ca="1">_xlfn.IFS(D27="", 0, D27="No", 0, AND(D27="Yes", F6&lt;&gt;"In-State"), 0, AND(D27="Yes", F6="In-State", Data!I26&lt;Data!I27), Data!I27-Data!I26, AND(D27="Yes", F6="In-State", Data!I26&gt;Data!I27), 0)</f>
        <v>0</v>
      </c>
      <c r="I27" s="320" t="s">
        <v>45</v>
      </c>
      <c r="J27" s="321"/>
      <c r="K27" s="322"/>
    </row>
    <row r="28" spans="2:11" ht="15.75" thickBot="1" x14ac:dyDescent="0.3">
      <c r="B28" s="295" t="str">
        <f>_xlfn.IFS(SUM(D8:D10)&lt;12,"You must be registered for 12 credits to receive most scholarships!", SUM(D8:D10)&gt;=12, "Learn more at www.coloradomesa.edu/financial-aid/scholarships")</f>
        <v>You must be registered for 12 credits to receive most scholarships!</v>
      </c>
      <c r="C28" s="296"/>
      <c r="D28" s="296"/>
      <c r="E28" s="296"/>
      <c r="F28" s="296"/>
      <c r="G28" s="22">
        <f ca="1">SUM(G25:G27)</f>
        <v>0</v>
      </c>
      <c r="I28" s="320"/>
      <c r="J28" s="321"/>
      <c r="K28" s="322"/>
    </row>
    <row r="29" spans="2:11" ht="16.5" thickTop="1" thickBot="1" x14ac:dyDescent="0.3">
      <c r="B29" s="264" t="s">
        <v>52</v>
      </c>
      <c r="C29" s="265"/>
      <c r="D29" s="265"/>
      <c r="E29" s="265"/>
      <c r="F29" s="65" t="s">
        <v>43</v>
      </c>
      <c r="G29" s="21" t="s">
        <v>44</v>
      </c>
      <c r="I29" s="241" t="s">
        <v>48</v>
      </c>
      <c r="J29" s="242"/>
      <c r="K29" s="243"/>
    </row>
    <row r="30" spans="2:11" ht="14.45" customHeight="1" thickTop="1" x14ac:dyDescent="0.25">
      <c r="B30" s="290" t="s">
        <v>53</v>
      </c>
      <c r="C30" s="291"/>
      <c r="D30" s="291"/>
      <c r="E30" s="292"/>
      <c r="F30" s="27">
        <v>0</v>
      </c>
      <c r="G30" s="16" cm="1">
        <f t="array" ref="G30">_xlfn.IFS(F30=0,0,AND(F30&lt;&gt;0,SUM(D8:D10)&gt;=12),F30/2,AND(F30&lt;&gt;0,SUM(D8:D10)&lt;12),(F30*((SUM(D8:D10))/12)/2))</f>
        <v>0</v>
      </c>
      <c r="I30" s="71" t="s">
        <v>11</v>
      </c>
      <c r="J30" s="183" t="s">
        <v>50</v>
      </c>
      <c r="K30" s="183"/>
    </row>
    <row r="31" spans="2:11" x14ac:dyDescent="0.25">
      <c r="B31" s="287" t="s">
        <v>55</v>
      </c>
      <c r="C31" s="288"/>
      <c r="D31" s="288"/>
      <c r="E31" s="289"/>
      <c r="F31" s="27">
        <v>0</v>
      </c>
      <c r="G31" s="16">
        <f>IF(SUM(D8:D10)&lt;12,0,IF(F31=0,0,F31/2))</f>
        <v>0</v>
      </c>
      <c r="I31" s="244" t="s">
        <v>11</v>
      </c>
      <c r="J31" s="182" t="s">
        <v>51</v>
      </c>
      <c r="K31" s="183"/>
    </row>
    <row r="32" spans="2:11" x14ac:dyDescent="0.25">
      <c r="B32" s="284" t="s">
        <v>57</v>
      </c>
      <c r="C32" s="285"/>
      <c r="D32" s="285"/>
      <c r="E32" s="286"/>
      <c r="F32" s="27"/>
      <c r="G32" s="16">
        <f>IF(F32=0,0,F32/2)</f>
        <v>0</v>
      </c>
      <c r="I32" s="244"/>
      <c r="J32" s="182"/>
      <c r="K32" s="183"/>
    </row>
    <row r="33" spans="2:11" ht="15.75" thickBot="1" x14ac:dyDescent="0.3">
      <c r="B33" s="295" t="str">
        <f>_xlfn.IFS(SUM(D8:D10)&lt;12,"You must be registered for 12 credits to receive CSG, SEOG, and most grants!", SUM(D8:D10)&gt;=12, "")</f>
        <v>You must be registered for 12 credits to receive CSG, SEOG, and most grants!</v>
      </c>
      <c r="C33" s="296"/>
      <c r="D33" s="296"/>
      <c r="E33" s="296"/>
      <c r="F33" s="35" t="s">
        <v>58</v>
      </c>
      <c r="G33" s="22">
        <f>SUM(G30:G32)</f>
        <v>0</v>
      </c>
      <c r="I33" s="71" t="s">
        <v>11</v>
      </c>
      <c r="J33" s="183" t="s">
        <v>54</v>
      </c>
      <c r="K33" s="183"/>
    </row>
    <row r="34" spans="2:11" ht="15.75" thickTop="1" x14ac:dyDescent="0.25">
      <c r="B34" s="264" t="s">
        <v>60</v>
      </c>
      <c r="C34" s="265"/>
      <c r="D34" s="265"/>
      <c r="E34" s="265"/>
      <c r="F34" s="65" t="s">
        <v>43</v>
      </c>
      <c r="G34" s="21" t="s">
        <v>44</v>
      </c>
      <c r="I34" s="317" t="s">
        <v>56</v>
      </c>
      <c r="J34" s="318"/>
      <c r="K34" s="319"/>
    </row>
    <row r="35" spans="2:11" ht="15.75" thickBot="1" x14ac:dyDescent="0.3">
      <c r="B35" s="188" t="s">
        <v>62</v>
      </c>
      <c r="C35" s="189"/>
      <c r="D35" s="190"/>
      <c r="E35" s="191"/>
      <c r="F35" s="28">
        <v>0</v>
      </c>
      <c r="G35" s="16">
        <f t="shared" ref="G35:G36" si="0">IF(F35=0,0,F35/2)</f>
        <v>0</v>
      </c>
      <c r="I35" s="317"/>
      <c r="J35" s="318"/>
      <c r="K35" s="319"/>
    </row>
    <row r="36" spans="2:11" ht="15.75" thickBot="1" x14ac:dyDescent="0.3">
      <c r="B36" s="188" t="s">
        <v>62</v>
      </c>
      <c r="C36" s="189"/>
      <c r="D36" s="190"/>
      <c r="E36" s="191"/>
      <c r="F36" s="28">
        <v>0</v>
      </c>
      <c r="G36" s="16">
        <f t="shared" si="0"/>
        <v>0</v>
      </c>
      <c r="I36" s="230" t="s">
        <v>59</v>
      </c>
      <c r="J36" s="231"/>
      <c r="K36" s="232"/>
    </row>
    <row r="37" spans="2:11" ht="15.75" thickTop="1" x14ac:dyDescent="0.25">
      <c r="B37" s="188" t="s">
        <v>62</v>
      </c>
      <c r="C37" s="189"/>
      <c r="D37" s="190"/>
      <c r="E37" s="191"/>
      <c r="F37" s="28">
        <v>0</v>
      </c>
      <c r="G37" s="16">
        <f>IF(F37=0,0,F37/2)</f>
        <v>0</v>
      </c>
      <c r="I37" s="70" t="s">
        <v>11</v>
      </c>
      <c r="J37" s="323" t="s">
        <v>61</v>
      </c>
      <c r="K37" s="248"/>
    </row>
    <row r="38" spans="2:11" ht="15.75" thickBot="1" x14ac:dyDescent="0.3">
      <c r="B38" s="188" t="s">
        <v>62</v>
      </c>
      <c r="C38" s="189"/>
      <c r="D38" s="190"/>
      <c r="E38" s="191"/>
      <c r="F38" s="28">
        <v>0</v>
      </c>
      <c r="G38" s="16">
        <f>IF(F38=0,0,F38/2)</f>
        <v>0</v>
      </c>
      <c r="I38" s="94"/>
      <c r="J38" s="182"/>
      <c r="K38" s="183"/>
    </row>
    <row r="39" spans="2:11" ht="15.75" thickBot="1" x14ac:dyDescent="0.3">
      <c r="B39" s="219" t="s">
        <v>65</v>
      </c>
      <c r="C39" s="220"/>
      <c r="D39" s="220"/>
      <c r="E39" s="220"/>
      <c r="F39" s="220"/>
      <c r="G39" s="24">
        <f>SUM(G35:G38)</f>
        <v>0</v>
      </c>
      <c r="I39" s="195" t="s">
        <v>63</v>
      </c>
      <c r="J39" s="196"/>
      <c r="K39" s="197"/>
    </row>
    <row r="40" spans="2:11" ht="15.75" thickTop="1" x14ac:dyDescent="0.25">
      <c r="B40" s="225" t="s">
        <v>67</v>
      </c>
      <c r="C40" s="226"/>
      <c r="D40" s="226"/>
      <c r="E40" s="226"/>
      <c r="F40" s="65" t="s">
        <v>43</v>
      </c>
      <c r="G40" s="21" t="s">
        <v>44</v>
      </c>
      <c r="I40" s="71" t="s">
        <v>11</v>
      </c>
      <c r="J40" s="182" t="s">
        <v>64</v>
      </c>
      <c r="K40" s="183"/>
    </row>
    <row r="41" spans="2:11" x14ac:dyDescent="0.25">
      <c r="B41" s="192" t="s">
        <v>68</v>
      </c>
      <c r="C41" s="193"/>
      <c r="D41" s="193"/>
      <c r="E41" s="194"/>
      <c r="F41" s="29">
        <v>0</v>
      </c>
      <c r="G41" s="16" cm="1">
        <f t="array" ref="G41">_xlfn.IFS(F41=0,0,SUM($D$8:$D$10)&lt;6, 0, AND(F41&lt;&gt;0, SUM($D$8:$D$10)&gt;=6), (F41-(F41*(Data!I43/100)))/2)</f>
        <v>0</v>
      </c>
      <c r="I41" s="70"/>
      <c r="J41" s="182"/>
      <c r="K41" s="183"/>
    </row>
    <row r="42" spans="2:11" x14ac:dyDescent="0.25">
      <c r="B42" s="192" t="s">
        <v>70</v>
      </c>
      <c r="C42" s="193"/>
      <c r="D42" s="193"/>
      <c r="E42" s="194"/>
      <c r="F42" s="29">
        <v>0</v>
      </c>
      <c r="G42" s="16" cm="1">
        <f t="array" ref="G42">_xlfn.IFS(F42=0,0,SUM($D$8:$D$10)&lt;6, 0, AND(F42&lt;&gt;0, SUM($D$8:$D$10)&gt;=6), (F42-(F42*(Data!I43/100)))/2)</f>
        <v>0</v>
      </c>
      <c r="I42" s="317" t="s">
        <v>66</v>
      </c>
      <c r="J42" s="318"/>
      <c r="K42" s="319"/>
    </row>
    <row r="43" spans="2:11" ht="15.75" thickBot="1" x14ac:dyDescent="0.3">
      <c r="B43" s="192" t="s">
        <v>72</v>
      </c>
      <c r="C43" s="193"/>
      <c r="D43" s="193"/>
      <c r="E43" s="194"/>
      <c r="F43" s="29">
        <v>0</v>
      </c>
      <c r="G43" s="16" cm="1">
        <f t="array" ref="G43">_xlfn.IFS(F43=0,0,SUM($D$8:$D$10)&lt;6, 0, AND(F43&lt;&gt;0, SUM($D$8:$D$10)&gt;=6), (F43-(F43*(Data!I44/100)))/2)</f>
        <v>0</v>
      </c>
      <c r="I43" s="317"/>
      <c r="J43" s="318"/>
      <c r="K43" s="319"/>
    </row>
    <row r="44" spans="2:11" ht="15.75" customHeight="1" thickBot="1" x14ac:dyDescent="0.3">
      <c r="B44" s="295" t="str">
        <f>IF(SUM(D8:D10)&lt;6, "You must be registered for at least 6 credit hours to be eligible for federal loans!", "Learn how to view &amp; accept loans at www.coloradomesa.edu/iris/how-to-videos")</f>
        <v>You must be registered for at least 6 credit hours to be eligible for federal loans!</v>
      </c>
      <c r="C44" s="296"/>
      <c r="D44" s="296"/>
      <c r="E44" s="296"/>
      <c r="F44" s="12" t="s">
        <v>74</v>
      </c>
      <c r="G44" s="23">
        <f>SUM(G41:G43)</f>
        <v>0</v>
      </c>
      <c r="I44" s="314" t="s">
        <v>69</v>
      </c>
      <c r="J44" s="315"/>
      <c r="K44" s="316"/>
    </row>
    <row r="45" spans="2:11" ht="15.75" thickTop="1" x14ac:dyDescent="0.25">
      <c r="B45" s="212" t="s">
        <v>75</v>
      </c>
      <c r="C45" s="213"/>
      <c r="D45" s="213"/>
      <c r="E45" s="213"/>
      <c r="F45" s="213"/>
      <c r="G45" s="20">
        <f ca="1">SUM(G28,G44,G33,G39)</f>
        <v>0</v>
      </c>
      <c r="I45" s="107" t="s">
        <v>11</v>
      </c>
      <c r="J45" s="306" t="s">
        <v>71</v>
      </c>
      <c r="K45" s="307"/>
    </row>
    <row r="46" spans="2:11" ht="15.75" x14ac:dyDescent="0.25">
      <c r="B46" s="214" t="s">
        <v>77</v>
      </c>
      <c r="C46" s="215"/>
      <c r="D46" s="215"/>
      <c r="E46" s="215"/>
      <c r="F46" s="215"/>
      <c r="G46" s="216"/>
      <c r="I46" s="186" t="s">
        <v>11</v>
      </c>
      <c r="J46" s="306" t="s">
        <v>73</v>
      </c>
      <c r="K46" s="307"/>
    </row>
    <row r="47" spans="2:11" ht="15.75" thickBot="1" x14ac:dyDescent="0.3">
      <c r="B47" s="217" t="str">
        <f ca="1">IF(G47&lt;=0, "Estimated refund", "Estimated amount I will still owe after financial aid has paid")</f>
        <v>Estimated refund</v>
      </c>
      <c r="C47" s="218"/>
      <c r="D47" s="218"/>
      <c r="E47" s="218"/>
      <c r="F47" s="218"/>
      <c r="G47" s="68">
        <f ca="1">G22-G45</f>
        <v>0</v>
      </c>
      <c r="I47" s="186"/>
      <c r="J47" s="306"/>
      <c r="K47" s="307"/>
    </row>
    <row r="48" spans="2:11" ht="15.75" thickTop="1" x14ac:dyDescent="0.25">
      <c r="B48" s="221" t="s">
        <v>79</v>
      </c>
      <c r="C48" s="222"/>
      <c r="D48" s="32" t="s">
        <v>80</v>
      </c>
      <c r="E48" s="206" t="s">
        <v>81</v>
      </c>
      <c r="F48" s="207"/>
      <c r="G48" s="208"/>
      <c r="I48" s="107" t="s">
        <v>11</v>
      </c>
      <c r="J48" s="308" t="s">
        <v>76</v>
      </c>
      <c r="K48" s="309"/>
    </row>
    <row r="49" spans="2:11" ht="14.45" customHeight="1" x14ac:dyDescent="0.25">
      <c r="B49" s="223" t="s">
        <v>82</v>
      </c>
      <c r="C49" s="224"/>
      <c r="D49" s="10" t="str" cm="1">
        <f t="array" aca="1" ref="D49" ca="1">IF(G47&gt;0, _xlfn.IFS(Data!R50&lt;Data!I49,ROUNDUP(G47/Data!I50,2), Data!R50&lt;Data!J49,ROUNDUP(G47/Data!J50,2),Data!R50&lt;Data!K49,ROUNDUP(G47/Data!K50,2),Data!R50&gt;=Data!K49, "Past Deadline"), "N/A")</f>
        <v>N/A</v>
      </c>
      <c r="E49" s="209"/>
      <c r="F49" s="210"/>
      <c r="G49" s="211"/>
      <c r="I49" s="186" t="s">
        <v>11</v>
      </c>
      <c r="J49" s="182" t="s">
        <v>78</v>
      </c>
      <c r="K49" s="183"/>
    </row>
    <row r="50" spans="2:11" x14ac:dyDescent="0.25">
      <c r="B50" s="223" t="s">
        <v>84</v>
      </c>
      <c r="C50" s="224"/>
      <c r="D50" s="10" t="str" cm="1">
        <f t="array" aca="1" ref="D50" ca="1">IF(G47&gt;0,_xlfn.IFS(Data!R50&lt;Data!I51,ROUNDUP(G47/Data!I52,2), Data!R50&lt;Data!J51,ROUNDUP(G47/Data!J52,2),Data!R50&lt;Data!K51,ROUNDUP(G47/Data!K52,2), Data!R50&lt;Data!L51, ROUNDUP(G47/Data!L52,2),Data!R50&lt;Data!M51,ROUNDUP(G47/Data!M52,2), Data!R50&gt;=Data!M51, "Past Deadline"), "N/A")</f>
        <v>N/A</v>
      </c>
      <c r="E50" s="200" t="s">
        <v>85</v>
      </c>
      <c r="F50" s="201"/>
      <c r="G50" s="202"/>
      <c r="I50" s="186"/>
      <c r="J50" s="182"/>
      <c r="K50" s="183"/>
    </row>
    <row r="51" spans="2:11" ht="15.75" customHeight="1" thickBot="1" x14ac:dyDescent="0.3">
      <c r="B51" s="198" t="s">
        <v>86</v>
      </c>
      <c r="C51" s="199"/>
      <c r="D51" s="25" t="str" cm="1">
        <f t="array" aca="1" ref="D51" ca="1">IF(G47&gt;0,_xlfn.IFS(Data!R50&lt;Data!I53,ROUNDUP(G47/Data!I54,2), Data!R50&lt;Data!J53,ROUNDUP(G47/Data!J54,2),Data!R50&lt;Data!K53,ROUNDUP(G47/Data!K54,2), Data!R50&lt;Data!L53, ROUNDUP(G47/Data!L54,2),Data!R50&lt; Data!M53, ROUNDUP(G47/Data!M54,2), Data!R50&lt;Data!N53, ROUNDUP(G47/Data!N54,2), Data!R50&lt;Data!O53,ROUNDUP(G47/Data!O54,2), Data!R50&lt;Data!P53,ROUNDUP(G47/Data!P54,2), Data!R50&lt;Data!Q53,ROUNDUP(G47/Data!Q54,2), Data!R50&gt;=Data!Q53, "Past Deadline"), "N/A")</f>
        <v>N/A</v>
      </c>
      <c r="E51" s="203" t="s">
        <v>87</v>
      </c>
      <c r="F51" s="204"/>
      <c r="G51" s="205"/>
      <c r="I51" s="186" t="s">
        <v>11</v>
      </c>
      <c r="J51" s="182" t="s">
        <v>83</v>
      </c>
      <c r="K51" s="183"/>
    </row>
    <row r="52" spans="2:11" ht="14.45" customHeight="1" thickBot="1" x14ac:dyDescent="0.3">
      <c r="I52" s="187"/>
      <c r="J52" s="184"/>
      <c r="K52" s="185"/>
    </row>
    <row r="56" spans="2:11" ht="16.5" customHeight="1" x14ac:dyDescent="0.25"/>
    <row r="57" spans="2:11" ht="15.75" customHeight="1" x14ac:dyDescent="0.25"/>
    <row r="60" spans="2:11" ht="14.45" customHeight="1" x14ac:dyDescent="0.25"/>
    <row r="61" spans="2:11" ht="15" customHeight="1" x14ac:dyDescent="0.25"/>
    <row r="62" spans="2:11" ht="14.45" customHeight="1" x14ac:dyDescent="0.25"/>
    <row r="63" spans="2:11" ht="14.45" customHeight="1" x14ac:dyDescent="0.25"/>
    <row r="64" spans="2:11" ht="14.45" customHeight="1" x14ac:dyDescent="0.25"/>
    <row r="65" ht="16.5" customHeight="1" x14ac:dyDescent="0.25"/>
    <row r="66" ht="15.75" customHeight="1" x14ac:dyDescent="0.25"/>
    <row r="67" ht="14.45" customHeight="1" x14ac:dyDescent="0.25"/>
    <row r="68" ht="17.25" customHeight="1" x14ac:dyDescent="0.25"/>
    <row r="71" ht="14.45" customHeight="1" x14ac:dyDescent="0.25"/>
    <row r="72" ht="14.45" customHeight="1" x14ac:dyDescent="0.25"/>
    <row r="73" ht="14.45" customHeight="1" x14ac:dyDescent="0.25"/>
    <row r="74" ht="14.45" customHeight="1" x14ac:dyDescent="0.25"/>
  </sheetData>
  <sheetProtection selectLockedCells="1"/>
  <protectedRanges>
    <protectedRange sqref="F6" name="Tuition Classification"/>
    <protectedRange sqref="D8:D11" name="Tuition and Fees"/>
    <protectedRange sqref="E15:F18" name="First Semester and Parking"/>
    <protectedRange sqref="B19:G20 E16:F18 G15" name="Other Expenses"/>
    <protectedRange sqref="D25:E27" name="Scholarships"/>
    <protectedRange sqref="F41:F43" name="Loans"/>
    <protectedRange sqref="F30:F32 B32" name="Grants"/>
    <protectedRange sqref="B35:F38" name="FamilyContr"/>
    <protectedRange sqref="C3 G3" name="Name_ID"/>
  </protectedRanges>
  <mergeCells count="104">
    <mergeCell ref="I49:I50"/>
    <mergeCell ref="J45:K45"/>
    <mergeCell ref="J46:K47"/>
    <mergeCell ref="J48:K48"/>
    <mergeCell ref="J10:K11"/>
    <mergeCell ref="I10:I11"/>
    <mergeCell ref="I3:K5"/>
    <mergeCell ref="I46:I47"/>
    <mergeCell ref="J40:K41"/>
    <mergeCell ref="I44:K44"/>
    <mergeCell ref="I34:K35"/>
    <mergeCell ref="I27:K28"/>
    <mergeCell ref="I42:K43"/>
    <mergeCell ref="J37:K38"/>
    <mergeCell ref="J19:K21"/>
    <mergeCell ref="J49:K50"/>
    <mergeCell ref="B44:E44"/>
    <mergeCell ref="B33:E33"/>
    <mergeCell ref="B28:F28"/>
    <mergeCell ref="B9:C9"/>
    <mergeCell ref="B11:C11"/>
    <mergeCell ref="B12:E12"/>
    <mergeCell ref="B25:C25"/>
    <mergeCell ref="D25:E25"/>
    <mergeCell ref="B23:G23"/>
    <mergeCell ref="B17:D17"/>
    <mergeCell ref="E17:F17"/>
    <mergeCell ref="B20:F20"/>
    <mergeCell ref="B21:F21"/>
    <mergeCell ref="B22:F22"/>
    <mergeCell ref="B24:E24"/>
    <mergeCell ref="B19:F19"/>
    <mergeCell ref="D35:E35"/>
    <mergeCell ref="B35:C35"/>
    <mergeCell ref="B2:G2"/>
    <mergeCell ref="C3:D3"/>
    <mergeCell ref="B5:G5"/>
    <mergeCell ref="B8:C8"/>
    <mergeCell ref="B10:C10"/>
    <mergeCell ref="F6:G6"/>
    <mergeCell ref="B6:D6"/>
    <mergeCell ref="B7:C7"/>
    <mergeCell ref="B34:E34"/>
    <mergeCell ref="B13:G13"/>
    <mergeCell ref="B14:F14"/>
    <mergeCell ref="B16:D16"/>
    <mergeCell ref="B18:D18"/>
    <mergeCell ref="E16:F16"/>
    <mergeCell ref="E18:F18"/>
    <mergeCell ref="B15:F15"/>
    <mergeCell ref="B26:C26"/>
    <mergeCell ref="B32:E32"/>
    <mergeCell ref="B31:E31"/>
    <mergeCell ref="B29:E29"/>
    <mergeCell ref="B30:E30"/>
    <mergeCell ref="D26:E26"/>
    <mergeCell ref="B27:C27"/>
    <mergeCell ref="D27:E27"/>
    <mergeCell ref="I2:K2"/>
    <mergeCell ref="J30:K30"/>
    <mergeCell ref="J33:K33"/>
    <mergeCell ref="I36:K36"/>
    <mergeCell ref="I6:K6"/>
    <mergeCell ref="J7:K7"/>
    <mergeCell ref="J8:K8"/>
    <mergeCell ref="J9:K9"/>
    <mergeCell ref="J12:K12"/>
    <mergeCell ref="J13:K13"/>
    <mergeCell ref="I14:K14"/>
    <mergeCell ref="J15:K15"/>
    <mergeCell ref="I29:K29"/>
    <mergeCell ref="J31:K32"/>
    <mergeCell ref="I31:I32"/>
    <mergeCell ref="J16:K17"/>
    <mergeCell ref="I22:K22"/>
    <mergeCell ref="J23:K23"/>
    <mergeCell ref="J24:K24"/>
    <mergeCell ref="J26:K26"/>
    <mergeCell ref="J18:K18"/>
    <mergeCell ref="J25:K25"/>
    <mergeCell ref="J51:K52"/>
    <mergeCell ref="I51:I52"/>
    <mergeCell ref="B36:C36"/>
    <mergeCell ref="D36:E36"/>
    <mergeCell ref="B37:C37"/>
    <mergeCell ref="D37:E37"/>
    <mergeCell ref="B38:C38"/>
    <mergeCell ref="D38:E38"/>
    <mergeCell ref="B41:E41"/>
    <mergeCell ref="B42:E42"/>
    <mergeCell ref="I39:K39"/>
    <mergeCell ref="B43:E43"/>
    <mergeCell ref="B51:C51"/>
    <mergeCell ref="E50:G50"/>
    <mergeCell ref="E51:G51"/>
    <mergeCell ref="E48:G49"/>
    <mergeCell ref="B45:F45"/>
    <mergeCell ref="B46:G46"/>
    <mergeCell ref="B47:F47"/>
    <mergeCell ref="B39:F39"/>
    <mergeCell ref="B48:C48"/>
    <mergeCell ref="B49:C49"/>
    <mergeCell ref="B50:C50"/>
    <mergeCell ref="B40:E40"/>
  </mergeCells>
  <conditionalFormatting sqref="B47">
    <cfRule type="containsText" dxfId="5" priority="7" operator="containsText" text="I will still owe">
      <formula>NOT(ISERROR(SEARCH("I will still owe",B47)))</formula>
    </cfRule>
    <cfRule type="containsText" dxfId="4" priority="22" operator="containsText" text="Total amount due after FPA">
      <formula>NOT(ISERROR(SEARCH("Total amount due after FPA",B47)))</formula>
    </cfRule>
    <cfRule type="containsText" dxfId="3" priority="24" operator="containsText" text="refund">
      <formula>NOT(ISERROR(SEARCH("refund",B47)))</formula>
    </cfRule>
  </conditionalFormatting>
  <conditionalFormatting sqref="B47:F47">
    <cfRule type="expression" priority="1">
      <formula>$G$47&lt;0</formula>
    </cfRule>
  </conditionalFormatting>
  <conditionalFormatting sqref="G47">
    <cfRule type="cellIs" dxfId="2" priority="4" operator="equal">
      <formula>0</formula>
    </cfRule>
    <cfRule type="cellIs" dxfId="1" priority="21" operator="greaterThan">
      <formula>0</formula>
    </cfRule>
    <cfRule type="cellIs" dxfId="0" priority="23" operator="lessThan">
      <formula>0</formula>
    </cfRule>
  </conditionalFormatting>
  <dataValidations count="2">
    <dataValidation type="list" allowBlank="1" showInputMessage="1" showErrorMessage="1" sqref="D11 D27:E27" xr:uid="{00000000-0002-0000-0000-000000000000}">
      <formula1>"Yes,No"</formula1>
    </dataValidation>
    <dataValidation type="list" allowBlank="1" showInputMessage="1" showErrorMessage="1" sqref="E17:F17 E16" xr:uid="{AE600DF0-AC00-4E2F-B533-88568A7A5CBE}">
      <formula1>"Yes, No"</formula1>
    </dataValidation>
  </dataValidations>
  <hyperlinks>
    <hyperlink ref="B12:E12" r:id="rId1" display="What is COF? Visit www.coloradomesa.edu/cof to learn more." xr:uid="{E81D5A44-A500-4A0B-BE7C-EF8AA95D3241}"/>
  </hyperlinks>
  <pageMargins left="0.25" right="0.25" top="0.25" bottom="0.25" header="0.3" footer="0.3"/>
  <pageSetup scale="90" fitToWidth="0" orientation="portrait" r:id="rId2"/>
  <extLst>
    <ext xmlns:x14="http://schemas.microsoft.com/office/spreadsheetml/2009/9/main" uri="{CCE6A557-97BC-4b89-ADB6-D9C93CAAB3DF}">
      <x14:dataValidations xmlns:xm="http://schemas.microsoft.com/office/excel/2006/main" count="6">
        <x14:dataValidation type="list" allowBlank="1" showInputMessage="1" showErrorMessage="1" xr:uid="{90498A5A-918A-4ABC-BC55-E01D5AC9F87B}">
          <x14:formula1>
            <xm:f>Data!$B$7:$B$10</xm:f>
          </x14:formula1>
          <xm:sqref>F6:G6</xm:sqref>
        </x14:dataValidation>
        <x14:dataValidation type="list" allowBlank="1" showInputMessage="1" showErrorMessage="1" xr:uid="{40C624F2-5409-4DAA-B506-EBA740AC6602}">
          <x14:formula1>
            <xm:f>Data!$B$14:$B$15</xm:f>
          </x14:formula1>
          <xm:sqref>B9:C9</xm:sqref>
        </x14:dataValidation>
        <x14:dataValidation type="list" allowBlank="1" showInputMessage="1" showErrorMessage="1" xr:uid="{E39121F5-AE8F-4953-B77B-6789DBC57763}">
          <x14:formula1>
            <xm:f>Data!$H$7:$H$13</xm:f>
          </x14:formula1>
          <xm:sqref>D25:E25</xm:sqref>
        </x14:dataValidation>
        <x14:dataValidation type="list" allowBlank="1" showInputMessage="1" showErrorMessage="1" xr:uid="{09DA3ED2-2843-4BF0-ADAF-90B4864CA6ED}">
          <x14:formula1>
            <xm:f>Data!$B$75:$B$81</xm:f>
          </x14:formula1>
          <xm:sqref>E18:F18</xm:sqref>
        </x14:dataValidation>
        <x14:dataValidation type="list" allowBlank="1" showInputMessage="1" showErrorMessage="1" xr:uid="{474E9777-0198-4091-B041-9C8EA8FCCAE6}">
          <x14:formula1>
            <xm:f>Data!$H$18:$H$21</xm:f>
          </x14:formula1>
          <xm:sqref>D26:E26</xm:sqref>
        </x14:dataValidation>
        <x14:dataValidation type="list" allowBlank="1" showInputMessage="1" showErrorMessage="1" xr:uid="{C25FAD19-C9BB-4C86-ACD6-170665E070B3}">
          <x14:formula1>
            <xm:f>Data!$H$32:$H$38</xm:f>
          </x14:formula1>
          <xm:sqref>D35:E38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2BF1A-FF10-4FB5-8B4C-D43BF0738A75}">
  <dimension ref="B1:J82"/>
  <sheetViews>
    <sheetView workbookViewId="0">
      <selection activeCell="J13" sqref="J13"/>
    </sheetView>
  </sheetViews>
  <sheetFormatPr defaultRowHeight="15" x14ac:dyDescent="0.25"/>
  <cols>
    <col min="2" max="2" width="29.28515625" customWidth="1"/>
    <col min="3" max="3" width="23.7109375" customWidth="1"/>
    <col min="4" max="4" width="20" customWidth="1"/>
    <col min="5" max="5" width="15.42578125" customWidth="1"/>
    <col min="6" max="6" width="46.85546875" customWidth="1"/>
  </cols>
  <sheetData>
    <row r="1" spans="2:6" ht="21" x14ac:dyDescent="0.25">
      <c r="B1" s="251" t="s">
        <v>243</v>
      </c>
      <c r="C1" s="252"/>
      <c r="D1" s="252"/>
      <c r="E1" s="252"/>
      <c r="F1" s="253"/>
    </row>
    <row r="2" spans="2:6" x14ac:dyDescent="0.25">
      <c r="B2" s="14" t="s">
        <v>1</v>
      </c>
      <c r="C2" s="329" t="str">
        <f>IF('CMU Budget Worksheet'!C3="", "", 'CMU Budget Worksheet'!C3)</f>
        <v/>
      </c>
      <c r="D2" s="330"/>
      <c r="E2" s="8" t="s">
        <v>2</v>
      </c>
      <c r="F2" s="118" t="str">
        <f>IF('CMU Budget Worksheet'!G3="", "",'CMU Budget Worksheet'!G3)</f>
        <v/>
      </c>
    </row>
    <row r="3" spans="2:6" ht="6.95" customHeight="1" thickBot="1" x14ac:dyDescent="0.3">
      <c r="B3" s="331"/>
      <c r="C3" s="331"/>
      <c r="D3" s="331"/>
      <c r="E3" s="108"/>
      <c r="F3" s="139"/>
    </row>
    <row r="4" spans="2:6" ht="16.5" thickBot="1" x14ac:dyDescent="0.3">
      <c r="B4" s="314" t="s">
        <v>253</v>
      </c>
      <c r="C4" s="315"/>
      <c r="D4" s="315"/>
      <c r="E4" s="315"/>
      <c r="F4" s="316"/>
    </row>
    <row r="5" spans="2:6" x14ac:dyDescent="0.25">
      <c r="B5" s="326" t="s">
        <v>244</v>
      </c>
      <c r="C5" s="327"/>
      <c r="D5" s="327"/>
      <c r="E5" s="327"/>
      <c r="F5" s="328"/>
    </row>
    <row r="6" spans="2:6" x14ac:dyDescent="0.25">
      <c r="B6" s="147" t="s">
        <v>254</v>
      </c>
      <c r="C6" s="111" t="s">
        <v>210</v>
      </c>
      <c r="D6" s="111" t="s">
        <v>211</v>
      </c>
      <c r="E6" s="111" t="s">
        <v>274</v>
      </c>
      <c r="F6" s="112" t="s">
        <v>91</v>
      </c>
    </row>
    <row r="7" spans="2:6" x14ac:dyDescent="0.25">
      <c r="B7" s="99" t="s">
        <v>245</v>
      </c>
      <c r="C7" s="119"/>
      <c r="D7" s="131"/>
      <c r="E7" s="120">
        <f>C7-D7</f>
        <v>0</v>
      </c>
      <c r="F7" s="142"/>
    </row>
    <row r="8" spans="2:6" x14ac:dyDescent="0.25">
      <c r="B8" s="114" t="s">
        <v>213</v>
      </c>
      <c r="C8" s="130"/>
      <c r="D8" s="131"/>
      <c r="E8" s="120">
        <f t="shared" ref="E8:E11" si="0">C8-D8</f>
        <v>0</v>
      </c>
      <c r="F8" s="142"/>
    </row>
    <row r="9" spans="2:6" x14ac:dyDescent="0.25">
      <c r="B9" s="99" t="s">
        <v>270</v>
      </c>
      <c r="C9" s="132">
        <v>0</v>
      </c>
      <c r="D9" s="131">
        <v>0</v>
      </c>
      <c r="E9" s="120">
        <f t="shared" si="0"/>
        <v>0</v>
      </c>
      <c r="F9" s="142"/>
    </row>
    <row r="10" spans="2:6" ht="15.75" thickBot="1" x14ac:dyDescent="0.3">
      <c r="B10" s="113" t="s">
        <v>214</v>
      </c>
      <c r="C10" s="133">
        <v>0</v>
      </c>
      <c r="D10" s="134">
        <v>0</v>
      </c>
      <c r="E10" s="121">
        <f t="shared" si="0"/>
        <v>0</v>
      </c>
      <c r="F10" s="143"/>
    </row>
    <row r="11" spans="2:6" ht="16.5" thickTop="1" thickBot="1" x14ac:dyDescent="0.3">
      <c r="B11" s="115" t="s">
        <v>251</v>
      </c>
      <c r="C11" s="122">
        <f>SUM(C7:C10)</f>
        <v>0</v>
      </c>
      <c r="D11" s="123">
        <f>SUM(D7:D10)</f>
        <v>0</v>
      </c>
      <c r="E11" s="124">
        <f t="shared" si="0"/>
        <v>0</v>
      </c>
      <c r="F11" s="144"/>
    </row>
    <row r="12" spans="2:6" x14ac:dyDescent="0.25">
      <c r="B12" s="326" t="s">
        <v>258</v>
      </c>
      <c r="C12" s="327"/>
      <c r="D12" s="327"/>
      <c r="E12" s="327"/>
      <c r="F12" s="328"/>
    </row>
    <row r="13" spans="2:6" x14ac:dyDescent="0.25">
      <c r="B13" s="147" t="s">
        <v>261</v>
      </c>
      <c r="C13" s="111" t="s">
        <v>210</v>
      </c>
      <c r="D13" s="111" t="s">
        <v>211</v>
      </c>
      <c r="E13" s="111" t="s">
        <v>274</v>
      </c>
      <c r="F13" s="112" t="s">
        <v>91</v>
      </c>
    </row>
    <row r="14" spans="2:6" x14ac:dyDescent="0.25">
      <c r="B14" s="99" t="s">
        <v>255</v>
      </c>
      <c r="C14" s="135"/>
      <c r="D14" s="136"/>
      <c r="E14" s="125">
        <f>C14-D14</f>
        <v>0</v>
      </c>
      <c r="F14" s="142"/>
    </row>
    <row r="15" spans="2:6" x14ac:dyDescent="0.25">
      <c r="B15" s="99" t="s">
        <v>256</v>
      </c>
      <c r="C15" s="135">
        <v>0</v>
      </c>
      <c r="D15" s="136">
        <v>0</v>
      </c>
      <c r="E15" s="125">
        <f t="shared" ref="E15:E19" si="1">C15-D15</f>
        <v>0</v>
      </c>
      <c r="F15" s="142"/>
    </row>
    <row r="16" spans="2:6" x14ac:dyDescent="0.25">
      <c r="B16" s="99" t="s">
        <v>259</v>
      </c>
      <c r="C16" s="135">
        <v>0</v>
      </c>
      <c r="D16" s="136">
        <v>0</v>
      </c>
      <c r="E16" s="125">
        <f t="shared" si="1"/>
        <v>0</v>
      </c>
      <c r="F16" s="142"/>
    </row>
    <row r="17" spans="2:6" x14ac:dyDescent="0.25">
      <c r="B17" s="99" t="s">
        <v>257</v>
      </c>
      <c r="C17" s="135">
        <v>0</v>
      </c>
      <c r="D17" s="136">
        <v>0</v>
      </c>
      <c r="E17" s="125">
        <f t="shared" si="1"/>
        <v>0</v>
      </c>
      <c r="F17" s="142"/>
    </row>
    <row r="18" spans="2:6" x14ac:dyDescent="0.25">
      <c r="B18" s="99" t="s">
        <v>155</v>
      </c>
      <c r="C18" s="135">
        <v>0</v>
      </c>
      <c r="D18" s="136">
        <v>0</v>
      </c>
      <c r="E18" s="125">
        <f t="shared" si="1"/>
        <v>0</v>
      </c>
      <c r="F18" s="142"/>
    </row>
    <row r="19" spans="2:6" ht="15.75" thickBot="1" x14ac:dyDescent="0.3">
      <c r="B19" s="113" t="s">
        <v>155</v>
      </c>
      <c r="C19" s="137">
        <v>0</v>
      </c>
      <c r="D19" s="138">
        <v>0</v>
      </c>
      <c r="E19" s="126">
        <f t="shared" si="1"/>
        <v>0</v>
      </c>
      <c r="F19" s="143"/>
    </row>
    <row r="20" spans="2:6" ht="16.5" thickTop="1" thickBot="1" x14ac:dyDescent="0.3">
      <c r="B20" s="116" t="s">
        <v>260</v>
      </c>
      <c r="C20" s="129">
        <f>SUM(C14:C19)</f>
        <v>0</v>
      </c>
      <c r="D20" s="129">
        <f t="shared" ref="D20:E20" si="2">SUM(D14:D19)</f>
        <v>0</v>
      </c>
      <c r="E20" s="129">
        <f t="shared" si="2"/>
        <v>0</v>
      </c>
      <c r="F20" s="145"/>
    </row>
    <row r="21" spans="2:6" ht="14.45" customHeight="1" x14ac:dyDescent="0.25">
      <c r="B21" s="169" t="s">
        <v>275</v>
      </c>
      <c r="C21" s="170">
        <f>C11-C20</f>
        <v>0</v>
      </c>
      <c r="D21" s="170">
        <f>D11-D20</f>
        <v>0</v>
      </c>
      <c r="E21" s="171">
        <f>C21-D21</f>
        <v>0</v>
      </c>
      <c r="F21" s="335" t="s">
        <v>264</v>
      </c>
    </row>
    <row r="22" spans="2:6" ht="16.5" thickBot="1" x14ac:dyDescent="0.3">
      <c r="B22" s="166" t="s">
        <v>276</v>
      </c>
      <c r="C22" s="167">
        <f>C21/12</f>
        <v>0</v>
      </c>
      <c r="D22" s="167">
        <f>D21/12</f>
        <v>0</v>
      </c>
      <c r="E22" s="168">
        <f>C22-D22</f>
        <v>0</v>
      </c>
      <c r="F22" s="336"/>
    </row>
    <row r="23" spans="2:6" ht="15.75" x14ac:dyDescent="0.25">
      <c r="B23" s="314" t="s">
        <v>262</v>
      </c>
      <c r="C23" s="315"/>
      <c r="D23" s="315"/>
      <c r="E23" s="315"/>
      <c r="F23" s="316"/>
    </row>
    <row r="24" spans="2:6" x14ac:dyDescent="0.25">
      <c r="B24" s="332" t="s">
        <v>209</v>
      </c>
      <c r="C24" s="333"/>
      <c r="D24" s="333"/>
      <c r="E24" s="333"/>
      <c r="F24" s="334"/>
    </row>
    <row r="25" spans="2:6" x14ac:dyDescent="0.25">
      <c r="B25" s="147" t="s">
        <v>254</v>
      </c>
      <c r="C25" s="111" t="s">
        <v>210</v>
      </c>
      <c r="D25" s="111" t="s">
        <v>211</v>
      </c>
      <c r="E25" s="111" t="s">
        <v>266</v>
      </c>
      <c r="F25" s="117" t="s">
        <v>91</v>
      </c>
    </row>
    <row r="26" spans="2:6" x14ac:dyDescent="0.25">
      <c r="B26" s="151" t="s">
        <v>212</v>
      </c>
      <c r="C26" s="140">
        <v>0</v>
      </c>
      <c r="D26" s="140">
        <v>0</v>
      </c>
      <c r="E26" s="127">
        <f>C26-D26</f>
        <v>0</v>
      </c>
      <c r="F26" s="152"/>
    </row>
    <row r="27" spans="2:6" x14ac:dyDescent="0.25">
      <c r="B27" s="151" t="s">
        <v>213</v>
      </c>
      <c r="C27" s="140"/>
      <c r="D27" s="140">
        <v>0</v>
      </c>
      <c r="E27" s="127">
        <f t="shared" ref="E27:E30" si="3">C27-D27</f>
        <v>0</v>
      </c>
      <c r="F27" s="152"/>
    </row>
    <row r="28" spans="2:6" x14ac:dyDescent="0.25">
      <c r="B28" s="151" t="s">
        <v>270</v>
      </c>
      <c r="C28" s="140"/>
      <c r="D28" s="140">
        <v>0</v>
      </c>
      <c r="E28" s="127">
        <f t="shared" si="3"/>
        <v>0</v>
      </c>
      <c r="F28" s="152"/>
    </row>
    <row r="29" spans="2:6" x14ac:dyDescent="0.25">
      <c r="B29" s="151" t="s">
        <v>263</v>
      </c>
      <c r="C29" s="140"/>
      <c r="D29" s="140">
        <v>0</v>
      </c>
      <c r="E29" s="127">
        <f t="shared" si="3"/>
        <v>0</v>
      </c>
      <c r="F29" s="152"/>
    </row>
    <row r="30" spans="2:6" ht="15.75" thickBot="1" x14ac:dyDescent="0.3">
      <c r="B30" s="153" t="s">
        <v>214</v>
      </c>
      <c r="C30" s="141">
        <v>0</v>
      </c>
      <c r="D30" s="141">
        <v>0</v>
      </c>
      <c r="E30" s="128">
        <f t="shared" si="3"/>
        <v>0</v>
      </c>
      <c r="F30" s="154"/>
    </row>
    <row r="31" spans="2:6" ht="16.5" thickTop="1" thickBot="1" x14ac:dyDescent="0.3">
      <c r="B31" s="156" t="s">
        <v>250</v>
      </c>
      <c r="C31" s="157">
        <f>SUM(C26:C30)</f>
        <v>0</v>
      </c>
      <c r="D31" s="157">
        <f t="shared" ref="D31:E31" si="4">SUM(D26:D30)</f>
        <v>0</v>
      </c>
      <c r="E31" s="157">
        <f t="shared" si="4"/>
        <v>0</v>
      </c>
      <c r="F31" s="155"/>
    </row>
    <row r="32" spans="2:6" x14ac:dyDescent="0.25">
      <c r="B32" s="326" t="s">
        <v>215</v>
      </c>
      <c r="C32" s="327"/>
      <c r="D32" s="327"/>
      <c r="E32" s="327"/>
      <c r="F32" s="328"/>
    </row>
    <row r="33" spans="2:6" x14ac:dyDescent="0.25">
      <c r="B33" s="147" t="s">
        <v>261</v>
      </c>
      <c r="C33" s="149" t="s">
        <v>210</v>
      </c>
      <c r="D33" s="149" t="s">
        <v>211</v>
      </c>
      <c r="E33" s="149" t="s">
        <v>274</v>
      </c>
      <c r="F33" s="150" t="s">
        <v>91</v>
      </c>
    </row>
    <row r="34" spans="2:6" x14ac:dyDescent="0.25">
      <c r="B34" s="151" t="s">
        <v>216</v>
      </c>
      <c r="C34" s="148">
        <v>0</v>
      </c>
      <c r="D34" s="148">
        <v>0</v>
      </c>
      <c r="E34" s="127">
        <f>C34-D34</f>
        <v>0</v>
      </c>
      <c r="F34" s="152"/>
    </row>
    <row r="35" spans="2:6" x14ac:dyDescent="0.25">
      <c r="B35" s="151" t="s">
        <v>217</v>
      </c>
      <c r="C35" s="148">
        <v>0</v>
      </c>
      <c r="D35" s="148">
        <v>0</v>
      </c>
      <c r="E35" s="127">
        <f t="shared" ref="E35:E68" si="5">C35-D35</f>
        <v>0</v>
      </c>
      <c r="F35" s="152"/>
    </row>
    <row r="36" spans="2:6" x14ac:dyDescent="0.25">
      <c r="B36" s="151" t="s">
        <v>218</v>
      </c>
      <c r="C36" s="148">
        <v>0</v>
      </c>
      <c r="D36" s="148">
        <v>0</v>
      </c>
      <c r="E36" s="127">
        <f t="shared" si="5"/>
        <v>0</v>
      </c>
      <c r="F36" s="152"/>
    </row>
    <row r="37" spans="2:6" x14ac:dyDescent="0.25">
      <c r="B37" s="151" t="s">
        <v>219</v>
      </c>
      <c r="C37" s="148">
        <v>0</v>
      </c>
      <c r="D37" s="148">
        <v>0</v>
      </c>
      <c r="E37" s="127">
        <f t="shared" si="5"/>
        <v>0</v>
      </c>
      <c r="F37" s="152"/>
    </row>
    <row r="38" spans="2:6" x14ac:dyDescent="0.25">
      <c r="B38" s="151" t="s">
        <v>267</v>
      </c>
      <c r="C38" s="148">
        <v>0</v>
      </c>
      <c r="D38" s="148">
        <v>0</v>
      </c>
      <c r="E38" s="127">
        <f t="shared" si="5"/>
        <v>0</v>
      </c>
      <c r="F38" s="152"/>
    </row>
    <row r="39" spans="2:6" x14ac:dyDescent="0.25">
      <c r="B39" s="151" t="s">
        <v>220</v>
      </c>
      <c r="C39" s="148">
        <v>0</v>
      </c>
      <c r="D39" s="148">
        <v>0</v>
      </c>
      <c r="E39" s="127">
        <f t="shared" si="5"/>
        <v>0</v>
      </c>
      <c r="F39" s="152"/>
    </row>
    <row r="40" spans="2:6" x14ac:dyDescent="0.25">
      <c r="B40" s="151" t="s">
        <v>221</v>
      </c>
      <c r="C40" s="148">
        <v>0</v>
      </c>
      <c r="D40" s="148">
        <v>0</v>
      </c>
      <c r="E40" s="127">
        <f t="shared" si="5"/>
        <v>0</v>
      </c>
      <c r="F40" s="152"/>
    </row>
    <row r="41" spans="2:6" x14ac:dyDescent="0.25">
      <c r="B41" s="151" t="s">
        <v>222</v>
      </c>
      <c r="C41" s="148">
        <v>0</v>
      </c>
      <c r="D41" s="148">
        <v>0</v>
      </c>
      <c r="E41" s="127">
        <f t="shared" si="5"/>
        <v>0</v>
      </c>
      <c r="F41" s="152"/>
    </row>
    <row r="42" spans="2:6" x14ac:dyDescent="0.25">
      <c r="B42" s="151" t="s">
        <v>223</v>
      </c>
      <c r="C42" s="148">
        <v>0</v>
      </c>
      <c r="D42" s="148">
        <v>0</v>
      </c>
      <c r="E42" s="127">
        <f t="shared" si="5"/>
        <v>0</v>
      </c>
      <c r="F42" s="152"/>
    </row>
    <row r="43" spans="2:6" x14ac:dyDescent="0.25">
      <c r="B43" s="151" t="s">
        <v>252</v>
      </c>
      <c r="C43" s="148">
        <v>0</v>
      </c>
      <c r="D43" s="148">
        <v>0</v>
      </c>
      <c r="E43" s="127">
        <f t="shared" si="5"/>
        <v>0</v>
      </c>
      <c r="F43" s="152"/>
    </row>
    <row r="44" spans="2:6" x14ac:dyDescent="0.25">
      <c r="B44" s="151" t="s">
        <v>224</v>
      </c>
      <c r="C44" s="148">
        <v>0</v>
      </c>
      <c r="D44" s="148">
        <v>0</v>
      </c>
      <c r="E44" s="127">
        <f t="shared" si="5"/>
        <v>0</v>
      </c>
      <c r="F44" s="152"/>
    </row>
    <row r="45" spans="2:6" x14ac:dyDescent="0.25">
      <c r="B45" s="151" t="s">
        <v>225</v>
      </c>
      <c r="C45" s="148">
        <v>0</v>
      </c>
      <c r="D45" s="148">
        <v>0</v>
      </c>
      <c r="E45" s="127">
        <f t="shared" si="5"/>
        <v>0</v>
      </c>
      <c r="F45" s="152" t="s">
        <v>269</v>
      </c>
    </row>
    <row r="46" spans="2:6" x14ac:dyDescent="0.25">
      <c r="B46" s="151" t="s">
        <v>226</v>
      </c>
      <c r="C46" s="148">
        <v>0</v>
      </c>
      <c r="D46" s="148">
        <v>0</v>
      </c>
      <c r="E46" s="127">
        <f t="shared" si="5"/>
        <v>0</v>
      </c>
      <c r="F46" s="152"/>
    </row>
    <row r="47" spans="2:6" x14ac:dyDescent="0.25">
      <c r="B47" s="151" t="s">
        <v>227</v>
      </c>
      <c r="C47" s="148">
        <v>0</v>
      </c>
      <c r="D47" s="148">
        <v>0</v>
      </c>
      <c r="E47" s="127">
        <f t="shared" si="5"/>
        <v>0</v>
      </c>
      <c r="F47" s="152"/>
    </row>
    <row r="48" spans="2:6" x14ac:dyDescent="0.25">
      <c r="B48" s="151" t="s">
        <v>228</v>
      </c>
      <c r="C48" s="148">
        <v>0</v>
      </c>
      <c r="D48" s="148">
        <v>0</v>
      </c>
      <c r="E48" s="127">
        <f t="shared" si="5"/>
        <v>0</v>
      </c>
      <c r="F48" s="152"/>
    </row>
    <row r="49" spans="2:6" x14ac:dyDescent="0.25">
      <c r="B49" s="151" t="s">
        <v>229</v>
      </c>
      <c r="C49" s="148">
        <v>0</v>
      </c>
      <c r="D49" s="148">
        <v>0</v>
      </c>
      <c r="E49" s="127">
        <f t="shared" si="5"/>
        <v>0</v>
      </c>
      <c r="F49" s="152"/>
    </row>
    <row r="50" spans="2:6" x14ac:dyDescent="0.25">
      <c r="B50" s="151" t="s">
        <v>230</v>
      </c>
      <c r="C50" s="148">
        <v>0</v>
      </c>
      <c r="D50" s="148">
        <v>0</v>
      </c>
      <c r="E50" s="127">
        <f t="shared" si="5"/>
        <v>0</v>
      </c>
      <c r="F50" s="152"/>
    </row>
    <row r="51" spans="2:6" x14ac:dyDescent="0.25">
      <c r="B51" s="151" t="s">
        <v>231</v>
      </c>
      <c r="C51" s="148">
        <v>0</v>
      </c>
      <c r="D51" s="148">
        <v>0</v>
      </c>
      <c r="E51" s="127">
        <f t="shared" si="5"/>
        <v>0</v>
      </c>
      <c r="F51" s="152"/>
    </row>
    <row r="52" spans="2:6" x14ac:dyDescent="0.25">
      <c r="B52" s="151" t="s">
        <v>232</v>
      </c>
      <c r="C52" s="148">
        <v>0</v>
      </c>
      <c r="D52" s="148">
        <v>0</v>
      </c>
      <c r="E52" s="127">
        <f t="shared" si="5"/>
        <v>0</v>
      </c>
      <c r="F52" s="152"/>
    </row>
    <row r="53" spans="2:6" x14ac:dyDescent="0.25">
      <c r="B53" s="151" t="s">
        <v>233</v>
      </c>
      <c r="C53" s="148">
        <v>0</v>
      </c>
      <c r="D53" s="148">
        <v>0</v>
      </c>
      <c r="E53" s="127">
        <f t="shared" si="5"/>
        <v>0</v>
      </c>
      <c r="F53" s="152"/>
    </row>
    <row r="54" spans="2:6" x14ac:dyDescent="0.25">
      <c r="B54" s="151" t="s">
        <v>234</v>
      </c>
      <c r="C54" s="148">
        <v>0</v>
      </c>
      <c r="D54" s="148">
        <v>0</v>
      </c>
      <c r="E54" s="127">
        <f t="shared" si="5"/>
        <v>0</v>
      </c>
      <c r="F54" s="152"/>
    </row>
    <row r="55" spans="2:6" x14ac:dyDescent="0.25">
      <c r="B55" s="151" t="s">
        <v>268</v>
      </c>
      <c r="C55" s="148">
        <v>0</v>
      </c>
      <c r="D55" s="148">
        <v>0</v>
      </c>
      <c r="E55" s="127">
        <f t="shared" si="5"/>
        <v>0</v>
      </c>
      <c r="F55" s="152"/>
    </row>
    <row r="56" spans="2:6" x14ac:dyDescent="0.25">
      <c r="B56" s="151" t="s">
        <v>235</v>
      </c>
      <c r="C56" s="148">
        <v>0</v>
      </c>
      <c r="D56" s="148">
        <v>0</v>
      </c>
      <c r="E56" s="127">
        <f t="shared" si="5"/>
        <v>0</v>
      </c>
      <c r="F56" s="152"/>
    </row>
    <row r="57" spans="2:6" x14ac:dyDescent="0.25">
      <c r="B57" s="151" t="s">
        <v>246</v>
      </c>
      <c r="C57" s="148">
        <v>0</v>
      </c>
      <c r="D57" s="148">
        <v>0</v>
      </c>
      <c r="E57" s="127">
        <f t="shared" si="5"/>
        <v>0</v>
      </c>
      <c r="F57" s="152"/>
    </row>
    <row r="58" spans="2:6" x14ac:dyDescent="0.25">
      <c r="B58" s="151" t="s">
        <v>236</v>
      </c>
      <c r="C58" s="148">
        <v>0</v>
      </c>
      <c r="D58" s="148">
        <v>0</v>
      </c>
      <c r="E58" s="127">
        <f t="shared" si="5"/>
        <v>0</v>
      </c>
      <c r="F58" s="152"/>
    </row>
    <row r="59" spans="2:6" x14ac:dyDescent="0.25">
      <c r="B59" s="151" t="s">
        <v>237</v>
      </c>
      <c r="C59" s="148">
        <v>0</v>
      </c>
      <c r="D59" s="148">
        <v>0</v>
      </c>
      <c r="E59" s="127">
        <f t="shared" si="5"/>
        <v>0</v>
      </c>
      <c r="F59" s="152"/>
    </row>
    <row r="60" spans="2:6" x14ac:dyDescent="0.25">
      <c r="B60" s="151" t="s">
        <v>238</v>
      </c>
      <c r="C60" s="148">
        <v>0</v>
      </c>
      <c r="D60" s="148">
        <v>0</v>
      </c>
      <c r="E60" s="127">
        <f t="shared" si="5"/>
        <v>0</v>
      </c>
      <c r="F60" s="152"/>
    </row>
    <row r="61" spans="2:6" x14ac:dyDescent="0.25">
      <c r="B61" s="151" t="s">
        <v>247</v>
      </c>
      <c r="C61" s="148">
        <v>0</v>
      </c>
      <c r="D61" s="148">
        <v>0</v>
      </c>
      <c r="E61" s="127">
        <f t="shared" si="5"/>
        <v>0</v>
      </c>
      <c r="F61" s="152"/>
    </row>
    <row r="62" spans="2:6" x14ac:dyDescent="0.25">
      <c r="B62" s="151" t="s">
        <v>248</v>
      </c>
      <c r="C62" s="148">
        <v>0</v>
      </c>
      <c r="D62" s="148">
        <v>0</v>
      </c>
      <c r="E62" s="127">
        <f t="shared" si="5"/>
        <v>0</v>
      </c>
      <c r="F62" s="152"/>
    </row>
    <row r="63" spans="2:6" x14ac:dyDescent="0.25">
      <c r="B63" s="151" t="s">
        <v>249</v>
      </c>
      <c r="C63" s="148">
        <v>0</v>
      </c>
      <c r="D63" s="148">
        <v>0</v>
      </c>
      <c r="E63" s="127">
        <f t="shared" si="5"/>
        <v>0</v>
      </c>
      <c r="F63" s="152"/>
    </row>
    <row r="64" spans="2:6" x14ac:dyDescent="0.25">
      <c r="B64" s="151" t="s">
        <v>239</v>
      </c>
      <c r="C64" s="148">
        <v>0</v>
      </c>
      <c r="D64" s="148">
        <v>0</v>
      </c>
      <c r="E64" s="127">
        <f t="shared" si="5"/>
        <v>0</v>
      </c>
      <c r="F64" s="152"/>
    </row>
    <row r="65" spans="2:10" x14ac:dyDescent="0.25">
      <c r="B65" s="151" t="s">
        <v>240</v>
      </c>
      <c r="C65" s="148">
        <v>0</v>
      </c>
      <c r="D65" s="148">
        <v>0</v>
      </c>
      <c r="E65" s="127">
        <f t="shared" si="5"/>
        <v>0</v>
      </c>
      <c r="F65" s="152"/>
    </row>
    <row r="66" spans="2:10" ht="14.45" customHeight="1" x14ac:dyDescent="0.25">
      <c r="B66" s="151" t="s">
        <v>265</v>
      </c>
      <c r="C66" s="148">
        <v>0</v>
      </c>
      <c r="D66" s="148">
        <v>0</v>
      </c>
      <c r="E66" s="127">
        <f t="shared" si="5"/>
        <v>0</v>
      </c>
      <c r="F66" s="158" t="s">
        <v>272</v>
      </c>
      <c r="G66" s="146"/>
      <c r="H66" s="146"/>
      <c r="I66" s="146"/>
      <c r="J66" s="146"/>
    </row>
    <row r="67" spans="2:10" x14ac:dyDescent="0.25">
      <c r="B67" s="151" t="s">
        <v>155</v>
      </c>
      <c r="C67" s="148">
        <v>0</v>
      </c>
      <c r="D67" s="148">
        <v>0</v>
      </c>
      <c r="E67" s="127">
        <f t="shared" si="5"/>
        <v>0</v>
      </c>
      <c r="F67" s="159"/>
      <c r="G67" s="146"/>
      <c r="H67" s="146"/>
      <c r="I67" s="146"/>
      <c r="J67" s="146"/>
    </row>
    <row r="68" spans="2:10" ht="15.75" thickBot="1" x14ac:dyDescent="0.3">
      <c r="B68" s="153" t="s">
        <v>155</v>
      </c>
      <c r="C68" s="160">
        <v>0</v>
      </c>
      <c r="D68" s="160">
        <v>0</v>
      </c>
      <c r="E68" s="128">
        <f t="shared" si="5"/>
        <v>0</v>
      </c>
      <c r="F68" s="161"/>
      <c r="G68" s="146"/>
      <c r="H68" s="146"/>
      <c r="I68" s="146"/>
      <c r="J68" s="146"/>
    </row>
    <row r="69" spans="2:10" ht="16.5" thickTop="1" thickBot="1" x14ac:dyDescent="0.3">
      <c r="B69" s="162" t="s">
        <v>271</v>
      </c>
      <c r="C69" s="163">
        <f>SUM(C34:C68)</f>
        <v>0</v>
      </c>
      <c r="D69" s="163">
        <f t="shared" ref="D69:E69" si="6">SUM(D34:D68)</f>
        <v>0</v>
      </c>
      <c r="E69" s="163">
        <f t="shared" si="6"/>
        <v>0</v>
      </c>
      <c r="F69" s="164"/>
    </row>
    <row r="70" spans="2:10" ht="16.5" thickBot="1" x14ac:dyDescent="0.3">
      <c r="B70" s="172" t="s">
        <v>273</v>
      </c>
      <c r="C70" s="173">
        <f>C31-C69</f>
        <v>0</v>
      </c>
      <c r="D70" s="173">
        <f t="shared" ref="D70:E70" si="7">D31-D69</f>
        <v>0</v>
      </c>
      <c r="E70" s="173">
        <f t="shared" si="7"/>
        <v>0</v>
      </c>
      <c r="F70" s="165"/>
    </row>
    <row r="72" spans="2:10" ht="14.45" customHeight="1" x14ac:dyDescent="0.25"/>
    <row r="78" spans="2:10" ht="14.45" customHeight="1" x14ac:dyDescent="0.25"/>
    <row r="80" spans="2:10" x14ac:dyDescent="0.25">
      <c r="B80" s="109"/>
      <c r="C80" s="109"/>
      <c r="D80" s="109"/>
      <c r="E80" s="109"/>
      <c r="F80" s="109"/>
    </row>
    <row r="81" spans="2:6" ht="14.45" customHeight="1" x14ac:dyDescent="0.25">
      <c r="B81" s="110"/>
      <c r="C81" s="110"/>
      <c r="D81" s="110"/>
      <c r="E81" s="110"/>
      <c r="F81" s="110"/>
    </row>
    <row r="82" spans="2:6" x14ac:dyDescent="0.25">
      <c r="B82" s="110"/>
      <c r="C82" s="110"/>
      <c r="D82" s="110"/>
      <c r="E82" s="110"/>
      <c r="F82" s="110"/>
    </row>
  </sheetData>
  <protectedRanges>
    <protectedRange sqref="C2 F2" name="Name_ID"/>
  </protectedRanges>
  <mergeCells count="10">
    <mergeCell ref="B32:F32"/>
    <mergeCell ref="B1:F1"/>
    <mergeCell ref="C2:D2"/>
    <mergeCell ref="B4:F4"/>
    <mergeCell ref="B3:D3"/>
    <mergeCell ref="B5:F5"/>
    <mergeCell ref="B12:F12"/>
    <mergeCell ref="B23:F23"/>
    <mergeCell ref="B24:F24"/>
    <mergeCell ref="F21:F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85"/>
  <sheetViews>
    <sheetView topLeftCell="A8" zoomScale="80" zoomScaleNormal="80" workbookViewId="0">
      <selection activeCell="E65" sqref="E65"/>
    </sheetView>
  </sheetViews>
  <sheetFormatPr defaultRowHeight="15" x14ac:dyDescent="0.25"/>
  <cols>
    <col min="1" max="1" width="9" customWidth="1"/>
    <col min="2" max="2" width="37.42578125" bestFit="1" customWidth="1"/>
    <col min="3" max="3" width="25" customWidth="1"/>
    <col min="4" max="4" width="39.7109375" customWidth="1"/>
    <col min="5" max="5" width="39.5703125" customWidth="1"/>
    <col min="6" max="6" width="27.140625" customWidth="1"/>
    <col min="7" max="7" width="12.85546875" customWidth="1"/>
    <col min="8" max="8" width="34" bestFit="1" customWidth="1"/>
    <col min="9" max="9" width="27.42578125" bestFit="1" customWidth="1"/>
    <col min="10" max="10" width="69" bestFit="1" customWidth="1"/>
    <col min="11" max="11" width="12.5703125" customWidth="1"/>
    <col min="12" max="12" width="29.28515625" customWidth="1"/>
    <col min="13" max="13" width="26" customWidth="1"/>
    <col min="14" max="15" width="14.5703125" customWidth="1"/>
    <col min="16" max="16" width="11.5703125" customWidth="1"/>
    <col min="17" max="17" width="14" customWidth="1"/>
    <col min="18" max="18" width="13.7109375" customWidth="1"/>
    <col min="19" max="19" width="13" customWidth="1"/>
  </cols>
  <sheetData>
    <row r="1" spans="1:10" ht="23.25" x14ac:dyDescent="0.35">
      <c r="A1" s="89"/>
      <c r="B1" s="63"/>
    </row>
    <row r="2" spans="1:10" ht="21" x14ac:dyDescent="0.35">
      <c r="A2" s="64" t="s">
        <v>207</v>
      </c>
      <c r="B2" s="63"/>
    </row>
    <row r="3" spans="1:10" x14ac:dyDescent="0.25">
      <c r="A3" s="38"/>
    </row>
    <row r="4" spans="1:10" ht="15.75" thickBot="1" x14ac:dyDescent="0.3"/>
    <row r="5" spans="1:10" ht="15.75" x14ac:dyDescent="0.25">
      <c r="B5" s="358" t="s">
        <v>4</v>
      </c>
      <c r="C5" s="359"/>
      <c r="D5" s="359"/>
      <c r="E5" s="360"/>
      <c r="H5" s="340" t="s">
        <v>88</v>
      </c>
      <c r="I5" s="341"/>
      <c r="J5" s="342"/>
    </row>
    <row r="6" spans="1:10" x14ac:dyDescent="0.25">
      <c r="B6" s="40" t="s">
        <v>89</v>
      </c>
      <c r="C6" s="41" t="s">
        <v>90</v>
      </c>
      <c r="D6" s="37" t="s">
        <v>91</v>
      </c>
      <c r="E6" s="42" t="s">
        <v>277</v>
      </c>
      <c r="H6" s="40" t="s">
        <v>92</v>
      </c>
      <c r="I6" s="37" t="s">
        <v>93</v>
      </c>
      <c r="J6" s="42" t="s">
        <v>91</v>
      </c>
    </row>
    <row r="7" spans="1:10" x14ac:dyDescent="0.25">
      <c r="B7" s="3" t="s">
        <v>94</v>
      </c>
      <c r="C7" s="75">
        <f>E7*1.03</f>
        <v>443.43559999999997</v>
      </c>
      <c r="D7" s="174" t="s">
        <v>278</v>
      </c>
      <c r="E7" s="175">
        <v>430.52</v>
      </c>
      <c r="H7" s="3" t="s">
        <v>95</v>
      </c>
      <c r="I7" s="54" t="s">
        <v>96</v>
      </c>
      <c r="J7" s="47" t="s">
        <v>97</v>
      </c>
    </row>
    <row r="8" spans="1:10" x14ac:dyDescent="0.25">
      <c r="B8" s="3" t="s">
        <v>98</v>
      </c>
      <c r="C8" s="75">
        <f t="shared" ref="C8:C15" si="0">E8*1.03</f>
        <v>883.00869999999998</v>
      </c>
      <c r="D8" s="174" t="s">
        <v>278</v>
      </c>
      <c r="E8" s="175">
        <v>857.29</v>
      </c>
      <c r="H8" s="3" t="s">
        <v>99</v>
      </c>
      <c r="I8" s="74">
        <v>7500</v>
      </c>
      <c r="J8" s="47" t="s">
        <v>97</v>
      </c>
    </row>
    <row r="9" spans="1:10" x14ac:dyDescent="0.25">
      <c r="B9" s="3" t="s">
        <v>100</v>
      </c>
      <c r="C9" s="75">
        <f t="shared" si="0"/>
        <v>513.09450000000004</v>
      </c>
      <c r="D9" s="174" t="s">
        <v>278</v>
      </c>
      <c r="E9" s="175">
        <v>498.15</v>
      </c>
      <c r="H9" s="3" t="s">
        <v>101</v>
      </c>
      <c r="I9" s="74">
        <v>5000</v>
      </c>
      <c r="J9" s="47" t="s">
        <v>97</v>
      </c>
    </row>
    <row r="10" spans="1:10" x14ac:dyDescent="0.25">
      <c r="B10" s="3" t="s">
        <v>102</v>
      </c>
      <c r="C10" s="75">
        <f t="shared" si="0"/>
        <v>513.09450000000004</v>
      </c>
      <c r="D10" s="174" t="s">
        <v>278</v>
      </c>
      <c r="E10" s="175">
        <v>498.15</v>
      </c>
      <c r="H10" s="3" t="s">
        <v>103</v>
      </c>
      <c r="I10" s="74">
        <v>3000</v>
      </c>
      <c r="J10" s="47" t="s">
        <v>97</v>
      </c>
    </row>
    <row r="11" spans="1:10" x14ac:dyDescent="0.25">
      <c r="B11" s="3" t="s">
        <v>17</v>
      </c>
      <c r="C11" s="75">
        <f t="shared" si="0"/>
        <v>473.09960000000001</v>
      </c>
      <c r="D11" s="174" t="s">
        <v>278</v>
      </c>
      <c r="E11" s="175">
        <v>459.32</v>
      </c>
      <c r="H11" s="3" t="s">
        <v>104</v>
      </c>
      <c r="I11" s="74">
        <v>2000</v>
      </c>
      <c r="J11" s="47" t="s">
        <v>97</v>
      </c>
    </row>
    <row r="12" spans="1:10" x14ac:dyDescent="0.25">
      <c r="B12" s="3" t="s">
        <v>105</v>
      </c>
      <c r="C12" s="75">
        <f t="shared" si="0"/>
        <v>119.48</v>
      </c>
      <c r="D12" s="174" t="s">
        <v>278</v>
      </c>
      <c r="E12" s="175">
        <v>116</v>
      </c>
      <c r="H12" s="3" t="s">
        <v>106</v>
      </c>
      <c r="I12" s="74">
        <v>1000</v>
      </c>
      <c r="J12" s="47" t="s">
        <v>97</v>
      </c>
    </row>
    <row r="13" spans="1:10" ht="15.75" thickBot="1" x14ac:dyDescent="0.3">
      <c r="B13" s="3" t="s">
        <v>107</v>
      </c>
      <c r="C13" s="75">
        <f t="shared" si="0"/>
        <v>41.2</v>
      </c>
      <c r="D13" s="174" t="s">
        <v>278</v>
      </c>
      <c r="E13" s="175">
        <v>40</v>
      </c>
      <c r="H13" s="7" t="s">
        <v>108</v>
      </c>
      <c r="I13" s="62">
        <v>0</v>
      </c>
      <c r="J13" s="48" t="s">
        <v>96</v>
      </c>
    </row>
    <row r="14" spans="1:10" x14ac:dyDescent="0.25">
      <c r="B14" s="3" t="s">
        <v>15</v>
      </c>
      <c r="C14" s="75">
        <f t="shared" si="0"/>
        <v>295.15680000000003</v>
      </c>
      <c r="D14" s="174" t="s">
        <v>278</v>
      </c>
      <c r="E14" s="176">
        <v>286.56</v>
      </c>
    </row>
    <row r="15" spans="1:10" ht="15.75" thickBot="1" x14ac:dyDescent="0.3">
      <c r="B15" s="7" t="s">
        <v>109</v>
      </c>
      <c r="C15" s="177">
        <f t="shared" si="0"/>
        <v>377.82459999999998</v>
      </c>
      <c r="D15" s="178" t="s">
        <v>278</v>
      </c>
      <c r="E15" s="179">
        <v>366.82</v>
      </c>
    </row>
    <row r="16" spans="1:10" ht="15.75" x14ac:dyDescent="0.25">
      <c r="C16" s="36"/>
      <c r="D16" s="36"/>
      <c r="H16" s="340" t="s">
        <v>110</v>
      </c>
      <c r="I16" s="341"/>
      <c r="J16" s="342"/>
    </row>
    <row r="17" spans="2:10" ht="15.75" thickBot="1" x14ac:dyDescent="0.3">
      <c r="H17" s="40" t="s">
        <v>92</v>
      </c>
      <c r="I17" s="37" t="s">
        <v>93</v>
      </c>
      <c r="J17" s="42" t="s">
        <v>91</v>
      </c>
    </row>
    <row r="18" spans="2:10" ht="15.75" x14ac:dyDescent="0.25">
      <c r="B18" s="361" t="s">
        <v>111</v>
      </c>
      <c r="C18" s="362"/>
      <c r="D18" s="362"/>
      <c r="E18" s="362"/>
      <c r="F18" s="363"/>
      <c r="H18" s="3" t="s">
        <v>112</v>
      </c>
      <c r="I18" s="74">
        <v>1000</v>
      </c>
      <c r="J18" s="47" t="s">
        <v>113</v>
      </c>
    </row>
    <row r="19" spans="2:10" x14ac:dyDescent="0.25">
      <c r="B19" s="40" t="s">
        <v>114</v>
      </c>
      <c r="C19" s="37" t="s">
        <v>115</v>
      </c>
      <c r="D19" s="37" t="s">
        <v>116</v>
      </c>
      <c r="E19" s="37" t="s">
        <v>91</v>
      </c>
      <c r="F19" s="42" t="s">
        <v>279</v>
      </c>
      <c r="H19" s="3" t="s">
        <v>117</v>
      </c>
      <c r="I19" s="74">
        <v>1000</v>
      </c>
      <c r="J19" s="47" t="s">
        <v>113</v>
      </c>
    </row>
    <row r="20" spans="2:10" x14ac:dyDescent="0.25">
      <c r="B20" s="3" t="s">
        <v>108</v>
      </c>
      <c r="C20" s="45">
        <v>0</v>
      </c>
      <c r="D20" s="50">
        <f t="shared" ref="D20:D46" si="1">C20/2</f>
        <v>0</v>
      </c>
      <c r="E20" s="44" t="s">
        <v>96</v>
      </c>
      <c r="F20" s="47" t="s">
        <v>96</v>
      </c>
      <c r="H20" s="3" t="s">
        <v>118</v>
      </c>
      <c r="I20" s="54">
        <f>SUM(I18:I19)</f>
        <v>2000</v>
      </c>
      <c r="J20" s="47" t="s">
        <v>113</v>
      </c>
    </row>
    <row r="21" spans="2:10" ht="15.75" thickBot="1" x14ac:dyDescent="0.3">
      <c r="B21" s="3" t="s">
        <v>119</v>
      </c>
      <c r="C21" s="76">
        <f>F21*1.03</f>
        <v>12663.85</v>
      </c>
      <c r="D21" s="50">
        <f t="shared" si="1"/>
        <v>6331.9250000000002</v>
      </c>
      <c r="E21" s="44" t="s">
        <v>280</v>
      </c>
      <c r="F21" s="180">
        <v>12295</v>
      </c>
      <c r="H21" s="7" t="s">
        <v>108</v>
      </c>
      <c r="I21" s="62">
        <v>0</v>
      </c>
      <c r="J21" s="48" t="s">
        <v>96</v>
      </c>
    </row>
    <row r="22" spans="2:10" x14ac:dyDescent="0.25">
      <c r="B22" s="3" t="s">
        <v>121</v>
      </c>
      <c r="C22" s="76">
        <f t="shared" ref="C22:C46" si="2">F22*1.03</f>
        <v>7858.9000000000005</v>
      </c>
      <c r="D22" s="50">
        <f t="shared" si="1"/>
        <v>3929.4500000000003</v>
      </c>
      <c r="E22" s="44" t="s">
        <v>120</v>
      </c>
      <c r="F22" s="180">
        <v>7630</v>
      </c>
    </row>
    <row r="23" spans="2:10" ht="15.75" thickBot="1" x14ac:dyDescent="0.3">
      <c r="B23" s="3" t="s">
        <v>122</v>
      </c>
      <c r="C23" s="76">
        <f t="shared" si="2"/>
        <v>6993.7</v>
      </c>
      <c r="D23" s="50">
        <f t="shared" si="1"/>
        <v>3496.85</v>
      </c>
      <c r="E23" s="44" t="s">
        <v>120</v>
      </c>
      <c r="F23" s="180">
        <v>6790</v>
      </c>
    </row>
    <row r="24" spans="2:10" ht="15.75" x14ac:dyDescent="0.25">
      <c r="B24" s="3" t="s">
        <v>123</v>
      </c>
      <c r="C24" s="76">
        <f t="shared" si="2"/>
        <v>9836.5</v>
      </c>
      <c r="D24" s="50">
        <f t="shared" si="1"/>
        <v>4918.25</v>
      </c>
      <c r="E24" s="44" t="s">
        <v>120</v>
      </c>
      <c r="F24" s="180">
        <v>9550</v>
      </c>
      <c r="H24" s="340" t="s">
        <v>124</v>
      </c>
      <c r="I24" s="341"/>
      <c r="J24" s="342"/>
    </row>
    <row r="25" spans="2:10" ht="15" customHeight="1" x14ac:dyDescent="0.25">
      <c r="B25" s="3" t="s">
        <v>125</v>
      </c>
      <c r="C25" s="76">
        <f t="shared" si="2"/>
        <v>10990.1</v>
      </c>
      <c r="D25" s="50">
        <f t="shared" si="1"/>
        <v>5495.05</v>
      </c>
      <c r="E25" s="44" t="s">
        <v>120</v>
      </c>
      <c r="F25" s="180">
        <v>10670</v>
      </c>
      <c r="H25" s="40" t="s">
        <v>126</v>
      </c>
      <c r="I25" s="37" t="s">
        <v>127</v>
      </c>
      <c r="J25" s="42" t="s">
        <v>91</v>
      </c>
    </row>
    <row r="26" spans="2:10" ht="15" customHeight="1" x14ac:dyDescent="0.25">
      <c r="B26" s="3" t="s">
        <v>128</v>
      </c>
      <c r="C26" s="76">
        <f t="shared" si="2"/>
        <v>6437.5</v>
      </c>
      <c r="D26" s="50">
        <f t="shared" si="1"/>
        <v>3218.75</v>
      </c>
      <c r="E26" s="44" t="s">
        <v>120</v>
      </c>
      <c r="F26" s="180">
        <v>6250</v>
      </c>
      <c r="H26" s="3" t="s">
        <v>129</v>
      </c>
      <c r="I26" s="5">
        <f ca="1">SUM('CMU Budget Worksheet'!G25:G26,'CMU Budget Worksheet'!G33,SUMIF('CMU Budget Worksheet'!D35:E38,"Athletic Scholarship",'CMU Budget Worksheet'!G35:G38))</f>
        <v>0</v>
      </c>
      <c r="J26" s="66" t="s">
        <v>130</v>
      </c>
    </row>
    <row r="27" spans="2:10" ht="15" customHeight="1" thickBot="1" x14ac:dyDescent="0.3">
      <c r="B27" s="3" t="s">
        <v>131</v>
      </c>
      <c r="C27" s="76">
        <f t="shared" si="2"/>
        <v>9785</v>
      </c>
      <c r="D27" s="50">
        <f t="shared" si="1"/>
        <v>4892.5</v>
      </c>
      <c r="E27" s="44" t="s">
        <v>120</v>
      </c>
      <c r="F27" s="180">
        <v>9500</v>
      </c>
      <c r="G27" s="43"/>
      <c r="H27" s="7" t="s">
        <v>132</v>
      </c>
      <c r="I27" s="55">
        <f>(SUM('CMU Budget Worksheet'!D8*'CMU Budget Worksheet'!E8,'CMU Budget Worksheet'!D10*'CMU Budget Worksheet'!E10,'CMU Budget Worksheet'!D9*'CMU Budget Worksheet'!E9)-(SUM('CMU Budget Worksheet'!D8:D10)*Data!C12))</f>
        <v>0</v>
      </c>
      <c r="J27" s="67" t="s">
        <v>133</v>
      </c>
    </row>
    <row r="28" spans="2:10" ht="15" customHeight="1" x14ac:dyDescent="0.25">
      <c r="B28" s="3" t="s">
        <v>134</v>
      </c>
      <c r="C28" s="76">
        <f t="shared" si="2"/>
        <v>10918</v>
      </c>
      <c r="D28" s="50">
        <f t="shared" si="1"/>
        <v>5459</v>
      </c>
      <c r="E28" s="44" t="s">
        <v>120</v>
      </c>
      <c r="F28" s="180">
        <v>10600</v>
      </c>
      <c r="G28" s="43"/>
    </row>
    <row r="29" spans="2:10" ht="15.75" thickBot="1" x14ac:dyDescent="0.3">
      <c r="B29" s="3" t="s">
        <v>135</v>
      </c>
      <c r="C29" s="76">
        <f t="shared" si="2"/>
        <v>7416</v>
      </c>
      <c r="D29" s="50">
        <f t="shared" si="1"/>
        <v>3708</v>
      </c>
      <c r="E29" s="44" t="s">
        <v>120</v>
      </c>
      <c r="F29" s="180">
        <v>7200</v>
      </c>
      <c r="G29" s="43"/>
    </row>
    <row r="30" spans="2:10" ht="15.75" x14ac:dyDescent="0.25">
      <c r="B30" s="3" t="s">
        <v>136</v>
      </c>
      <c r="C30" s="76">
        <f t="shared" si="2"/>
        <v>7858.9000000000005</v>
      </c>
      <c r="D30" s="50">
        <f t="shared" si="1"/>
        <v>3929.4500000000003</v>
      </c>
      <c r="E30" s="44" t="s">
        <v>120</v>
      </c>
      <c r="F30" s="180">
        <v>7630</v>
      </c>
      <c r="G30" s="43"/>
      <c r="H30" s="364" t="s">
        <v>60</v>
      </c>
      <c r="I30" s="365"/>
      <c r="J30" s="366"/>
    </row>
    <row r="31" spans="2:10" x14ac:dyDescent="0.25">
      <c r="B31" s="3" t="s">
        <v>137</v>
      </c>
      <c r="C31" s="76">
        <f t="shared" si="2"/>
        <v>9836.5</v>
      </c>
      <c r="D31" s="50">
        <f t="shared" si="1"/>
        <v>4918.25</v>
      </c>
      <c r="E31" s="44" t="s">
        <v>120</v>
      </c>
      <c r="F31" s="180">
        <v>9550</v>
      </c>
      <c r="G31" s="43"/>
      <c r="H31" s="40" t="s">
        <v>138</v>
      </c>
      <c r="I31" s="37" t="s">
        <v>139</v>
      </c>
      <c r="J31" s="42" t="s">
        <v>91</v>
      </c>
    </row>
    <row r="32" spans="2:10" x14ac:dyDescent="0.25">
      <c r="B32" s="3" t="s">
        <v>140</v>
      </c>
      <c r="C32" s="76">
        <f t="shared" si="2"/>
        <v>8064.9000000000005</v>
      </c>
      <c r="D32" s="50">
        <f t="shared" si="1"/>
        <v>4032.4500000000003</v>
      </c>
      <c r="E32" s="44" t="s">
        <v>120</v>
      </c>
      <c r="F32" s="180">
        <v>7830</v>
      </c>
      <c r="G32" s="43"/>
      <c r="H32" s="99" t="s">
        <v>141</v>
      </c>
      <c r="I32" s="44" t="s">
        <v>142</v>
      </c>
      <c r="J32" s="100"/>
    </row>
    <row r="33" spans="2:18" x14ac:dyDescent="0.25">
      <c r="B33" s="3" t="s">
        <v>143</v>
      </c>
      <c r="C33" s="76">
        <f t="shared" si="2"/>
        <v>9836.5</v>
      </c>
      <c r="D33" s="50">
        <f t="shared" si="1"/>
        <v>4918.25</v>
      </c>
      <c r="E33" s="44" t="s">
        <v>120</v>
      </c>
      <c r="F33" s="180">
        <v>9550</v>
      </c>
      <c r="G33" s="43"/>
      <c r="H33" s="99" t="s">
        <v>144</v>
      </c>
      <c r="I33" s="44" t="s">
        <v>145</v>
      </c>
      <c r="J33" s="47"/>
    </row>
    <row r="34" spans="2:18" x14ac:dyDescent="0.25">
      <c r="B34" s="3" t="s">
        <v>146</v>
      </c>
      <c r="C34" s="76">
        <f t="shared" si="2"/>
        <v>6901</v>
      </c>
      <c r="D34" s="50">
        <f t="shared" si="1"/>
        <v>3450.5</v>
      </c>
      <c r="E34" s="44" t="s">
        <v>120</v>
      </c>
      <c r="F34" s="180">
        <v>6700</v>
      </c>
      <c r="G34" s="43"/>
      <c r="H34" s="99" t="s">
        <v>147</v>
      </c>
      <c r="I34" s="44" t="s">
        <v>142</v>
      </c>
      <c r="J34" s="47"/>
    </row>
    <row r="35" spans="2:18" x14ac:dyDescent="0.25">
      <c r="B35" s="3" t="s">
        <v>148</v>
      </c>
      <c r="C35" s="76">
        <f t="shared" si="2"/>
        <v>8085.5</v>
      </c>
      <c r="D35" s="50">
        <f t="shared" si="1"/>
        <v>4042.75</v>
      </c>
      <c r="E35" s="44" t="s">
        <v>120</v>
      </c>
      <c r="F35" s="180">
        <v>7850</v>
      </c>
      <c r="G35" s="43"/>
      <c r="H35" s="99" t="s">
        <v>149</v>
      </c>
      <c r="I35" s="44" t="s">
        <v>142</v>
      </c>
      <c r="J35" s="47"/>
    </row>
    <row r="36" spans="2:18" x14ac:dyDescent="0.25">
      <c r="B36" s="3" t="s">
        <v>150</v>
      </c>
      <c r="C36" s="76">
        <f t="shared" si="2"/>
        <v>10969.5</v>
      </c>
      <c r="D36" s="50">
        <f t="shared" si="1"/>
        <v>5484.75</v>
      </c>
      <c r="E36" s="44" t="s">
        <v>120</v>
      </c>
      <c r="F36" s="180">
        <v>10650</v>
      </c>
      <c r="G36" s="43"/>
      <c r="H36" s="99" t="s">
        <v>151</v>
      </c>
      <c r="I36" s="44" t="s">
        <v>142</v>
      </c>
      <c r="J36" s="47"/>
    </row>
    <row r="37" spans="2:18" x14ac:dyDescent="0.25">
      <c r="B37" s="3" t="s">
        <v>152</v>
      </c>
      <c r="C37" s="76">
        <f t="shared" si="2"/>
        <v>6437.5</v>
      </c>
      <c r="D37" s="50">
        <f t="shared" si="1"/>
        <v>3218.75</v>
      </c>
      <c r="E37" s="44" t="s">
        <v>120</v>
      </c>
      <c r="F37" s="180">
        <v>6250</v>
      </c>
      <c r="G37" s="43"/>
      <c r="H37" s="102" t="s">
        <v>153</v>
      </c>
      <c r="I37" s="103" t="s">
        <v>142</v>
      </c>
      <c r="J37" s="1"/>
    </row>
    <row r="38" spans="2:18" ht="15.75" thickBot="1" x14ac:dyDescent="0.3">
      <c r="B38" s="3" t="s">
        <v>154</v>
      </c>
      <c r="C38" s="76">
        <f t="shared" si="2"/>
        <v>8137</v>
      </c>
      <c r="D38" s="50">
        <f t="shared" si="1"/>
        <v>4068.5</v>
      </c>
      <c r="E38" s="44" t="s">
        <v>120</v>
      </c>
      <c r="F38" s="180">
        <v>7900</v>
      </c>
      <c r="G38" s="43"/>
      <c r="H38" s="101" t="s">
        <v>155</v>
      </c>
      <c r="I38" s="87" t="s">
        <v>142</v>
      </c>
      <c r="J38" s="48"/>
    </row>
    <row r="39" spans="2:18" x14ac:dyDescent="0.25">
      <c r="B39" s="3" t="s">
        <v>156</v>
      </c>
      <c r="C39" s="76">
        <f t="shared" si="2"/>
        <v>4738</v>
      </c>
      <c r="D39" s="50">
        <f t="shared" si="1"/>
        <v>2369</v>
      </c>
      <c r="E39" s="44" t="s">
        <v>120</v>
      </c>
      <c r="F39" s="180">
        <v>4600</v>
      </c>
      <c r="G39" s="43"/>
    </row>
    <row r="40" spans="2:18" ht="15.75" thickBot="1" x14ac:dyDescent="0.3">
      <c r="B40" s="3" t="s">
        <v>157</v>
      </c>
      <c r="C40" s="76">
        <f t="shared" si="2"/>
        <v>7055.5</v>
      </c>
      <c r="D40" s="50">
        <f t="shared" si="1"/>
        <v>3527.75</v>
      </c>
      <c r="E40" s="44" t="s">
        <v>120</v>
      </c>
      <c r="F40" s="180">
        <v>6850</v>
      </c>
      <c r="G40" s="43"/>
    </row>
    <row r="41" spans="2:18" ht="15.75" x14ac:dyDescent="0.25">
      <c r="B41" s="3" t="s">
        <v>158</v>
      </c>
      <c r="C41" s="76">
        <f t="shared" si="2"/>
        <v>4738</v>
      </c>
      <c r="D41" s="50">
        <f t="shared" si="1"/>
        <v>2369</v>
      </c>
      <c r="E41" s="44" t="s">
        <v>120</v>
      </c>
      <c r="F41" s="180">
        <v>4600</v>
      </c>
      <c r="G41" s="43"/>
      <c r="H41" s="343" t="s">
        <v>159</v>
      </c>
      <c r="I41" s="344"/>
      <c r="J41" s="345"/>
    </row>
    <row r="42" spans="2:18" x14ac:dyDescent="0.25">
      <c r="B42" s="3" t="s">
        <v>160</v>
      </c>
      <c r="C42" s="76">
        <f t="shared" si="2"/>
        <v>7055.5</v>
      </c>
      <c r="D42" s="50">
        <f t="shared" si="1"/>
        <v>3527.75</v>
      </c>
      <c r="E42" s="44" t="s">
        <v>120</v>
      </c>
      <c r="F42" s="180">
        <v>6850</v>
      </c>
      <c r="G42" s="43"/>
      <c r="H42" s="40" t="s">
        <v>161</v>
      </c>
      <c r="I42" s="37" t="s">
        <v>162</v>
      </c>
      <c r="J42" s="42" t="s">
        <v>91</v>
      </c>
    </row>
    <row r="43" spans="2:18" x14ac:dyDescent="0.25">
      <c r="B43" s="3" t="s">
        <v>163</v>
      </c>
      <c r="C43" s="76">
        <f t="shared" si="2"/>
        <v>7055.5</v>
      </c>
      <c r="D43" s="50">
        <f t="shared" si="1"/>
        <v>3527.75</v>
      </c>
      <c r="E43" s="44" t="s">
        <v>120</v>
      </c>
      <c r="F43" s="180">
        <v>6850</v>
      </c>
      <c r="G43" s="43"/>
      <c r="H43" s="3" t="s">
        <v>164</v>
      </c>
      <c r="I43" s="95">
        <v>1.0569999999999999</v>
      </c>
      <c r="J43" s="66" t="s">
        <v>165</v>
      </c>
    </row>
    <row r="44" spans="2:18" ht="15.75" thickBot="1" x14ac:dyDescent="0.3">
      <c r="B44" s="3" t="s">
        <v>166</v>
      </c>
      <c r="C44" s="76">
        <f t="shared" si="2"/>
        <v>8528.4</v>
      </c>
      <c r="D44" s="50">
        <f t="shared" si="1"/>
        <v>4264.2</v>
      </c>
      <c r="E44" s="44" t="s">
        <v>120</v>
      </c>
      <c r="F44" s="180">
        <v>8280</v>
      </c>
      <c r="G44" s="43"/>
      <c r="H44" s="7" t="s">
        <v>167</v>
      </c>
      <c r="I44" s="96">
        <v>4.2279999999999998</v>
      </c>
      <c r="J44" s="67" t="s">
        <v>168</v>
      </c>
    </row>
    <row r="45" spans="2:18" x14ac:dyDescent="0.25">
      <c r="B45" s="3" t="s">
        <v>169</v>
      </c>
      <c r="C45" s="76">
        <f t="shared" si="2"/>
        <v>12663.85</v>
      </c>
      <c r="D45" s="50">
        <f t="shared" si="1"/>
        <v>6331.9250000000002</v>
      </c>
      <c r="E45" s="44" t="s">
        <v>120</v>
      </c>
      <c r="F45" s="180">
        <v>12295</v>
      </c>
      <c r="G45" s="43"/>
    </row>
    <row r="46" spans="2:18" ht="15.75" thickBot="1" x14ac:dyDescent="0.3">
      <c r="B46" s="7" t="s">
        <v>170</v>
      </c>
      <c r="C46" s="77">
        <f t="shared" si="2"/>
        <v>7055.5</v>
      </c>
      <c r="D46" s="51">
        <f t="shared" si="1"/>
        <v>3527.75</v>
      </c>
      <c r="E46" s="87" t="s">
        <v>120</v>
      </c>
      <c r="F46" s="181">
        <v>6850</v>
      </c>
      <c r="G46" s="43"/>
    </row>
    <row r="47" spans="2:18" ht="15.75" x14ac:dyDescent="0.25">
      <c r="B47" s="52"/>
      <c r="C47" s="52"/>
      <c r="H47" s="346" t="s">
        <v>171</v>
      </c>
      <c r="I47" s="347"/>
      <c r="J47" s="347"/>
      <c r="K47" s="347"/>
      <c r="L47" s="347"/>
      <c r="M47" s="347"/>
      <c r="N47" s="347"/>
      <c r="O47" s="347"/>
      <c r="P47" s="347"/>
      <c r="Q47" s="347"/>
      <c r="R47" s="348"/>
    </row>
    <row r="48" spans="2:18" ht="15.75" thickBot="1" x14ac:dyDescent="0.3">
      <c r="B48" s="52"/>
      <c r="C48" s="52"/>
      <c r="H48" s="40" t="s">
        <v>79</v>
      </c>
      <c r="I48" s="349" t="s">
        <v>172</v>
      </c>
      <c r="J48" s="349"/>
      <c r="K48" s="349"/>
      <c r="L48" s="349"/>
      <c r="M48" s="349"/>
      <c r="N48" s="349"/>
      <c r="O48" s="349"/>
      <c r="P48" s="349"/>
      <c r="Q48" s="349"/>
      <c r="R48" s="350"/>
    </row>
    <row r="49" spans="1:18" ht="15.75" x14ac:dyDescent="0.25">
      <c r="B49" s="367" t="s">
        <v>173</v>
      </c>
      <c r="C49" s="368"/>
      <c r="D49" s="369"/>
      <c r="E49" s="91"/>
      <c r="H49" s="49" t="s">
        <v>82</v>
      </c>
      <c r="I49" s="97">
        <v>45885</v>
      </c>
      <c r="J49" s="97">
        <v>45916</v>
      </c>
      <c r="K49" s="97">
        <v>45946</v>
      </c>
      <c r="L49" s="97">
        <v>45947</v>
      </c>
      <c r="M49" s="84"/>
      <c r="N49" s="84"/>
      <c r="O49" s="84"/>
      <c r="P49" s="84"/>
      <c r="Q49" s="84"/>
      <c r="R49" s="42" t="s">
        <v>174</v>
      </c>
    </row>
    <row r="50" spans="1:18" x14ac:dyDescent="0.25">
      <c r="B50" s="92" t="s">
        <v>93</v>
      </c>
      <c r="C50" s="354" t="s">
        <v>91</v>
      </c>
      <c r="D50" s="355"/>
      <c r="E50" s="90"/>
      <c r="H50" s="3" t="s">
        <v>175</v>
      </c>
      <c r="I50" s="44">
        <v>5</v>
      </c>
      <c r="J50" s="44">
        <v>4</v>
      </c>
      <c r="K50" s="44">
        <v>3</v>
      </c>
      <c r="L50" s="83" t="s">
        <v>176</v>
      </c>
      <c r="M50" s="84"/>
      <c r="N50" s="84"/>
      <c r="O50" s="84"/>
      <c r="P50" s="84"/>
      <c r="Q50" s="84"/>
      <c r="R50" s="85">
        <f ca="1">TODAY()</f>
        <v>45980</v>
      </c>
    </row>
    <row r="51" spans="1:18" ht="15.75" thickBot="1" x14ac:dyDescent="0.3">
      <c r="B51" s="93">
        <v>30</v>
      </c>
      <c r="C51" s="356" t="s">
        <v>177</v>
      </c>
      <c r="D51" s="357"/>
      <c r="E51" s="90"/>
      <c r="H51" s="49" t="s">
        <v>84</v>
      </c>
      <c r="I51" s="98">
        <v>45885</v>
      </c>
      <c r="J51" s="98">
        <v>45902</v>
      </c>
      <c r="K51" s="98">
        <v>45916</v>
      </c>
      <c r="L51" s="98">
        <v>45932</v>
      </c>
      <c r="M51" s="98">
        <v>45946</v>
      </c>
      <c r="N51" s="97">
        <v>45947</v>
      </c>
      <c r="O51" s="84"/>
      <c r="P51" s="84"/>
      <c r="Q51" s="84"/>
      <c r="R51" s="86"/>
    </row>
    <row r="52" spans="1:18" x14ac:dyDescent="0.25">
      <c r="B52" s="52"/>
      <c r="C52" s="52"/>
      <c r="H52" s="3" t="s">
        <v>178</v>
      </c>
      <c r="I52" s="44">
        <v>10</v>
      </c>
      <c r="J52" s="44">
        <v>9</v>
      </c>
      <c r="K52" s="44">
        <v>8</v>
      </c>
      <c r="L52" s="44">
        <v>7</v>
      </c>
      <c r="M52" s="44">
        <v>6</v>
      </c>
      <c r="N52" s="83" t="s">
        <v>176</v>
      </c>
      <c r="O52" s="84"/>
      <c r="P52" s="84"/>
      <c r="Q52" s="84"/>
      <c r="R52" s="86"/>
    </row>
    <row r="53" spans="1:18" ht="15.75" thickBot="1" x14ac:dyDescent="0.3">
      <c r="H53" s="49" t="s">
        <v>86</v>
      </c>
      <c r="I53" s="98">
        <v>45674</v>
      </c>
      <c r="J53" s="98">
        <v>45681</v>
      </c>
      <c r="K53" s="98">
        <v>45688</v>
      </c>
      <c r="L53" s="98">
        <f t="shared" ref="L53:Q53" si="3">K53+7</f>
        <v>45695</v>
      </c>
      <c r="M53" s="98">
        <f t="shared" si="3"/>
        <v>45702</v>
      </c>
      <c r="N53" s="98">
        <f t="shared" si="3"/>
        <v>45709</v>
      </c>
      <c r="O53" s="98">
        <f t="shared" si="3"/>
        <v>45716</v>
      </c>
      <c r="P53" s="98">
        <f t="shared" si="3"/>
        <v>45723</v>
      </c>
      <c r="Q53" s="98">
        <f t="shared" si="3"/>
        <v>45730</v>
      </c>
      <c r="R53" s="97">
        <v>45733</v>
      </c>
    </row>
    <row r="54" spans="1:18" ht="16.5" thickBot="1" x14ac:dyDescent="0.3">
      <c r="B54" s="351" t="s">
        <v>179</v>
      </c>
      <c r="C54" s="352"/>
      <c r="D54" s="352"/>
      <c r="E54" s="353"/>
      <c r="H54" s="7" t="s">
        <v>180</v>
      </c>
      <c r="I54" s="87">
        <v>19</v>
      </c>
      <c r="J54" s="87">
        <v>18</v>
      </c>
      <c r="K54" s="87">
        <v>17</v>
      </c>
      <c r="L54" s="87">
        <v>16</v>
      </c>
      <c r="M54" s="87">
        <v>15</v>
      </c>
      <c r="N54" s="87">
        <v>14</v>
      </c>
      <c r="O54" s="87">
        <v>13</v>
      </c>
      <c r="P54" s="87">
        <v>12</v>
      </c>
      <c r="Q54" s="87">
        <v>11</v>
      </c>
      <c r="R54" s="88" t="s">
        <v>176</v>
      </c>
    </row>
    <row r="55" spans="1:18" x14ac:dyDescent="0.25">
      <c r="B55" s="40" t="s">
        <v>181</v>
      </c>
      <c r="C55" s="53" t="s">
        <v>182</v>
      </c>
      <c r="D55" s="53" t="s">
        <v>183</v>
      </c>
      <c r="E55" s="42" t="s">
        <v>91</v>
      </c>
    </row>
    <row r="56" spans="1:18" x14ac:dyDescent="0.25">
      <c r="B56" s="3" t="s">
        <v>198</v>
      </c>
      <c r="C56" s="76">
        <v>5959</v>
      </c>
      <c r="D56" s="46">
        <f>C56/2</f>
        <v>2979.5</v>
      </c>
      <c r="E56" s="47" t="s">
        <v>201</v>
      </c>
    </row>
    <row r="57" spans="1:18" x14ac:dyDescent="0.25">
      <c r="B57" s="3" t="s">
        <v>199</v>
      </c>
      <c r="C57" s="76">
        <v>5820</v>
      </c>
      <c r="D57" s="46">
        <f>C57/2</f>
        <v>2910</v>
      </c>
      <c r="E57" s="47" t="s">
        <v>201</v>
      </c>
    </row>
    <row r="58" spans="1:18" x14ac:dyDescent="0.25">
      <c r="B58" s="104" t="s">
        <v>200</v>
      </c>
      <c r="C58" s="105">
        <v>5542</v>
      </c>
      <c r="D58" s="46">
        <f>C58/2</f>
        <v>2771</v>
      </c>
      <c r="E58" s="47" t="s">
        <v>201</v>
      </c>
    </row>
    <row r="59" spans="1:18" x14ac:dyDescent="0.25">
      <c r="B59" s="104" t="s">
        <v>202</v>
      </c>
      <c r="C59" s="105">
        <v>3172</v>
      </c>
      <c r="D59" s="46">
        <f t="shared" ref="D59:D62" si="4">C59/2</f>
        <v>1586</v>
      </c>
      <c r="E59" s="106" t="s">
        <v>206</v>
      </c>
    </row>
    <row r="60" spans="1:18" x14ac:dyDescent="0.25">
      <c r="B60" s="104" t="s">
        <v>203</v>
      </c>
      <c r="C60" s="105">
        <v>318</v>
      </c>
      <c r="D60" s="46">
        <f t="shared" si="4"/>
        <v>159</v>
      </c>
      <c r="E60" s="106" t="s">
        <v>206</v>
      </c>
    </row>
    <row r="61" spans="1:18" x14ac:dyDescent="0.25">
      <c r="B61" s="104" t="s">
        <v>204</v>
      </c>
      <c r="C61" s="105">
        <v>585</v>
      </c>
      <c r="D61" s="46">
        <f t="shared" si="4"/>
        <v>292.5</v>
      </c>
      <c r="E61" s="106" t="s">
        <v>206</v>
      </c>
    </row>
    <row r="62" spans="1:18" x14ac:dyDescent="0.25">
      <c r="B62" s="104" t="s">
        <v>205</v>
      </c>
      <c r="C62" s="105">
        <v>1120</v>
      </c>
      <c r="D62" s="46">
        <f t="shared" si="4"/>
        <v>560</v>
      </c>
      <c r="E62" s="106" t="s">
        <v>206</v>
      </c>
    </row>
    <row r="63" spans="1:18" ht="15.75" thickBot="1" x14ac:dyDescent="0.3">
      <c r="B63" s="7" t="s">
        <v>108</v>
      </c>
      <c r="C63" s="62">
        <v>0</v>
      </c>
      <c r="D63" s="62">
        <v>0</v>
      </c>
      <c r="E63" s="48" t="s">
        <v>96</v>
      </c>
    </row>
    <row r="64" spans="1:18" x14ac:dyDescent="0.25">
      <c r="A64" s="2"/>
    </row>
    <row r="65" spans="2:7" ht="15.75" thickBot="1" x14ac:dyDescent="0.3"/>
    <row r="66" spans="2:7" ht="15.75" x14ac:dyDescent="0.25">
      <c r="B66" s="337" t="s">
        <v>184</v>
      </c>
      <c r="C66" s="338"/>
      <c r="D66" s="339"/>
    </row>
    <row r="67" spans="2:7" x14ac:dyDescent="0.25">
      <c r="B67" s="40" t="s">
        <v>185</v>
      </c>
      <c r="C67" s="37" t="s">
        <v>93</v>
      </c>
      <c r="D67" s="42" t="s">
        <v>91</v>
      </c>
    </row>
    <row r="68" spans="2:7" x14ac:dyDescent="0.25">
      <c r="B68" s="3" t="s">
        <v>186</v>
      </c>
      <c r="C68" s="78">
        <v>140</v>
      </c>
      <c r="D68" s="47" t="s">
        <v>187</v>
      </c>
      <c r="G68" s="43"/>
    </row>
    <row r="69" spans="2:7" ht="15.75" thickBot="1" x14ac:dyDescent="0.3">
      <c r="B69" s="59" t="s">
        <v>188</v>
      </c>
      <c r="C69" s="79">
        <v>90</v>
      </c>
      <c r="D69" s="60" t="s">
        <v>187</v>
      </c>
      <c r="G69" s="43"/>
    </row>
    <row r="70" spans="2:7" ht="16.5" thickTop="1" thickBot="1" x14ac:dyDescent="0.3">
      <c r="B70" s="56" t="s">
        <v>10</v>
      </c>
      <c r="C70" s="57">
        <f>SUM(C68:C69)</f>
        <v>230</v>
      </c>
      <c r="D70" s="58"/>
    </row>
    <row r="72" spans="2:7" ht="15.75" thickBot="1" x14ac:dyDescent="0.3"/>
    <row r="73" spans="2:7" ht="15.75" x14ac:dyDescent="0.25">
      <c r="B73" s="370" t="s">
        <v>189</v>
      </c>
      <c r="C73" s="371"/>
      <c r="D73" s="372"/>
    </row>
    <row r="74" spans="2:7" x14ac:dyDescent="0.25">
      <c r="B74" s="40" t="s">
        <v>189</v>
      </c>
      <c r="C74" s="37" t="s">
        <v>93</v>
      </c>
      <c r="D74" s="42" t="s">
        <v>91</v>
      </c>
    </row>
    <row r="75" spans="2:7" x14ac:dyDescent="0.25">
      <c r="B75" s="3" t="s">
        <v>108</v>
      </c>
      <c r="C75" s="61">
        <v>0</v>
      </c>
      <c r="D75" s="47" t="s">
        <v>96</v>
      </c>
    </row>
    <row r="76" spans="2:7" x14ac:dyDescent="0.25">
      <c r="B76" s="3" t="s">
        <v>190</v>
      </c>
      <c r="C76" s="80">
        <v>186</v>
      </c>
      <c r="D76" s="47" t="s">
        <v>187</v>
      </c>
    </row>
    <row r="77" spans="2:7" x14ac:dyDescent="0.25">
      <c r="B77" s="3" t="s">
        <v>191</v>
      </c>
      <c r="C77" s="80">
        <v>275</v>
      </c>
      <c r="D77" s="47" t="s">
        <v>187</v>
      </c>
    </row>
    <row r="78" spans="2:7" x14ac:dyDescent="0.25">
      <c r="B78" s="3" t="s">
        <v>192</v>
      </c>
      <c r="C78" s="80">
        <v>154</v>
      </c>
      <c r="D78" s="47" t="s">
        <v>187</v>
      </c>
    </row>
    <row r="79" spans="2:7" x14ac:dyDescent="0.25">
      <c r="B79" s="3" t="s">
        <v>193</v>
      </c>
      <c r="C79" s="80">
        <v>154</v>
      </c>
      <c r="D79" s="47" t="s">
        <v>187</v>
      </c>
    </row>
    <row r="80" spans="2:7" x14ac:dyDescent="0.25">
      <c r="B80" s="3" t="s">
        <v>194</v>
      </c>
      <c r="C80" s="80">
        <v>70</v>
      </c>
      <c r="D80" s="47" t="s">
        <v>187</v>
      </c>
    </row>
    <row r="81" spans="2:4" ht="15.75" thickBot="1" x14ac:dyDescent="0.3">
      <c r="B81" s="7" t="s">
        <v>195</v>
      </c>
      <c r="C81" s="81">
        <v>38</v>
      </c>
      <c r="D81" s="48" t="s">
        <v>187</v>
      </c>
    </row>
    <row r="83" spans="2:4" ht="15.75" thickBot="1" x14ac:dyDescent="0.3"/>
    <row r="84" spans="2:4" ht="15.75" x14ac:dyDescent="0.25">
      <c r="B84" s="337" t="s">
        <v>196</v>
      </c>
      <c r="C84" s="338"/>
      <c r="D84" s="339"/>
    </row>
    <row r="85" spans="2:4" ht="15.75" thickBot="1" x14ac:dyDescent="0.3">
      <c r="B85" s="7" t="s">
        <v>93</v>
      </c>
      <c r="C85" s="82">
        <v>405</v>
      </c>
      <c r="D85" s="48" t="s">
        <v>197</v>
      </c>
    </row>
  </sheetData>
  <sheetProtection selectLockedCells="1" selectUnlockedCells="1"/>
  <sortState xmlns:xlrd2="http://schemas.microsoft.com/office/spreadsheetml/2017/richdata2" ref="B21:E46">
    <sortCondition ref="B21:B46"/>
  </sortState>
  <mergeCells count="16">
    <mergeCell ref="B84:D84"/>
    <mergeCell ref="H5:J5"/>
    <mergeCell ref="H16:J16"/>
    <mergeCell ref="H24:J24"/>
    <mergeCell ref="H41:J41"/>
    <mergeCell ref="H47:R47"/>
    <mergeCell ref="I48:R48"/>
    <mergeCell ref="B54:E54"/>
    <mergeCell ref="B66:D66"/>
    <mergeCell ref="C50:D50"/>
    <mergeCell ref="C51:D51"/>
    <mergeCell ref="B5:E5"/>
    <mergeCell ref="B18:F18"/>
    <mergeCell ref="H30:J30"/>
    <mergeCell ref="B49:D49"/>
    <mergeCell ref="B73:D73"/>
  </mergeCells>
  <phoneticPr fontId="15"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E7D57918B56842BE11094E8EB902AB" ma:contentTypeVersion="14" ma:contentTypeDescription="Create a new document." ma:contentTypeScope="" ma:versionID="83230bc5cad2b78ba4adf38d426d7fd3">
  <xsd:schema xmlns:xsd="http://www.w3.org/2001/XMLSchema" xmlns:xs="http://www.w3.org/2001/XMLSchema" xmlns:p="http://schemas.microsoft.com/office/2006/metadata/properties" xmlns:ns2="4e3cb2c6-17df-4324-8ee2-2607b2f7e8fa" xmlns:ns3="35b04d6e-81fc-4f1a-b465-acdbd1eda427" targetNamespace="http://schemas.microsoft.com/office/2006/metadata/properties" ma:root="true" ma:fieldsID="2d24bb44fcb9d4aa92672267b567a70f" ns2:_="" ns3:_="">
    <xsd:import namespace="4e3cb2c6-17df-4324-8ee2-2607b2f7e8fa"/>
    <xsd:import namespace="35b04d6e-81fc-4f1a-b465-acdbd1eda4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3cb2c6-17df-4324-8ee2-2607b2f7e8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09773b0-dc49-42ec-b1b1-e7d6a7500c3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b04d6e-81fc-4f1a-b465-acdbd1eda42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8f7f1cdf-cbbe-41b4-8f56-3d928563a800}" ma:internalName="TaxCatchAll" ma:showField="CatchAllData" ma:web="35b04d6e-81fc-4f1a-b465-acdbd1eda4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5b04d6e-81fc-4f1a-b465-acdbd1eda427" xsi:nil="true"/>
    <lcf76f155ced4ddcb4097134ff3c332f xmlns="4e3cb2c6-17df-4324-8ee2-2607b2f7e8f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34244E-C165-4F1F-9E6A-B4662F3CB5F5}"/>
</file>

<file path=customXml/itemProps2.xml><?xml version="1.0" encoding="utf-8"?>
<ds:datastoreItem xmlns:ds="http://schemas.openxmlformats.org/officeDocument/2006/customXml" ds:itemID="{948275EF-68FB-4F2E-BCC0-134222DC1A19}">
  <ds:schemaRefs>
    <ds:schemaRef ds:uri="http://schemas.microsoft.com/sharepoint/v3/contenttype/forms"/>
  </ds:schemaRefs>
</ds:datastoreItem>
</file>

<file path=customXml/itemProps3.xml><?xml version="1.0" encoding="utf-8"?>
<ds:datastoreItem xmlns:ds="http://schemas.openxmlformats.org/officeDocument/2006/customXml" ds:itemID="{2398204E-599D-4357-AFF7-A9FDC29BC68F}">
  <ds:schemaRefs>
    <ds:schemaRef ds:uri="http://schemas.microsoft.com/office/2006/metadata/properties"/>
    <ds:schemaRef ds:uri="http://schemas.microsoft.com/office/infopath/2007/PartnerControls"/>
    <ds:schemaRef ds:uri="35b04d6e-81fc-4f1a-b465-acdbd1eda427"/>
    <ds:schemaRef ds:uri="4e3cb2c6-17df-4324-8ee2-2607b2f7e8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CMU Budget Worksheet</vt:lpstr>
      <vt:lpstr>Monthly Worksheet</vt:lpstr>
      <vt:lpstr>Data</vt:lpstr>
    </vt:vector>
  </TitlesOfParts>
  <Manager/>
  <Company>Colorado Mesa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Wilkerson, Brenna</dc:creator>
  <cp:keywords/>
  <dc:description/>
  <cp:lastModifiedBy>Little, Justin</cp:lastModifiedBy>
  <cp:revision/>
  <dcterms:created xsi:type="dcterms:W3CDTF">2019-10-03T17:28:45Z</dcterms:created>
  <dcterms:modified xsi:type="dcterms:W3CDTF">2025-11-19T23:55:32Z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0x010100B3E7D57918B56842BE11094E8EB902AB</vt:lpwstr>
  </property>
  <property fmtid="{D5CDD505-2E9C-101B-9397-08002B2CF9AE}" pid="3" name="MediaServiceImageTags">
    <vt:lpwstr/>
  </property>
</Properties>
</file>